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900" windowHeight="9855" activeTab="1"/>
  </bookViews>
  <sheets>
    <sheet name="Definitions" sheetId="1" r:id="rId1"/>
    <sheet name="Rel. by Popn" sheetId="2" r:id="rId2"/>
    <sheet name="Rel. by MA&amp;ESU" sheetId="3" r:id="rId3"/>
    <sheet name="ODFW Rel" sheetId="4" r:id="rId4"/>
    <sheet name="ESU Total Rel" sheetId="5" r:id="rId5"/>
  </sheets>
  <definedNames>
    <definedName name="_xlnm.Print_Area" localSheetId="2">'Rel. by MA&amp;ESU'!$A$1:$P$37</definedName>
  </definedNames>
  <calcPr fullCalcOnLoad="1"/>
</workbook>
</file>

<file path=xl/comments2.xml><?xml version="1.0" encoding="utf-8"?>
<comments xmlns="http://schemas.openxmlformats.org/spreadsheetml/2006/main">
  <authors>
    <author>Mark Lewis</author>
  </authors>
  <commentList>
    <comment ref="AS28" authorId="0">
      <text>
        <r>
          <rPr>
            <sz val="8"/>
            <rFont val="Tahoma"/>
            <family val="0"/>
          </rPr>
          <t>39,849 are accidental stock mix, released in Galesville Res. In June (post-smolts?)</t>
        </r>
      </text>
    </comment>
    <comment ref="AR27" authorId="0">
      <text>
        <r>
          <rPr>
            <sz val="8"/>
            <rFont val="Tahoma"/>
            <family val="0"/>
          </rPr>
          <t xml:space="preserve">Accidental Stock Mix, released in Galesville Res. </t>
        </r>
      </text>
    </comment>
    <comment ref="AH25" authorId="0">
      <text>
        <r>
          <rPr>
            <sz val="8"/>
            <rFont val="Tahoma"/>
            <family val="0"/>
          </rPr>
          <t>Number of Fry Ponded</t>
        </r>
      </text>
    </comment>
    <comment ref="AR26" authorId="0">
      <text>
        <r>
          <rPr>
            <sz val="8"/>
            <rFont val="Tahoma"/>
            <family val="0"/>
          </rPr>
          <t>Galesville Res.</t>
        </r>
      </text>
    </comment>
    <comment ref="AR28" authorId="0">
      <text>
        <r>
          <rPr>
            <sz val="8"/>
            <rFont val="Tahoma"/>
            <family val="0"/>
          </rPr>
          <t>Galesville Res.</t>
        </r>
      </text>
    </comment>
    <comment ref="H20" authorId="0">
      <text>
        <r>
          <rPr>
            <sz val="8"/>
            <rFont val="Tahoma"/>
            <family val="0"/>
          </rPr>
          <t>Cape Meares Lake</t>
        </r>
      </text>
    </comment>
    <comment ref="O29" authorId="0">
      <text>
        <r>
          <rPr>
            <sz val="8"/>
            <rFont val="Tahoma"/>
            <family val="0"/>
          </rPr>
          <t xml:space="preserve">Smith Lake &amp; Spring Lake
</t>
        </r>
      </text>
    </comment>
    <comment ref="C19" authorId="0">
      <text>
        <r>
          <rPr>
            <sz val="8"/>
            <rFont val="Tahoma"/>
            <family val="0"/>
          </rPr>
          <t>Sunset Lake</t>
        </r>
      </text>
    </comment>
    <comment ref="C25" authorId="0">
      <text>
        <r>
          <rPr>
            <sz val="8"/>
            <rFont val="Tahoma"/>
            <family val="0"/>
          </rPr>
          <t>Sunset Lake</t>
        </r>
      </text>
    </comment>
    <comment ref="C29" authorId="0">
      <text>
        <r>
          <rPr>
            <sz val="8"/>
            <rFont val="Tahoma"/>
            <family val="0"/>
          </rPr>
          <t>Sunset Lake</t>
        </r>
      </text>
    </comment>
    <comment ref="AR22" authorId="0">
      <text>
        <r>
          <rPr>
            <sz val="8"/>
            <rFont val="Tahoma"/>
            <family val="0"/>
          </rPr>
          <t>Galesville Res.</t>
        </r>
      </text>
    </comment>
    <comment ref="AR20" authorId="0">
      <text>
        <r>
          <rPr>
            <sz val="8"/>
            <rFont val="Tahoma"/>
            <family val="0"/>
          </rPr>
          <t>Galesville Res.</t>
        </r>
      </text>
    </comment>
    <comment ref="J19" authorId="0">
      <text>
        <r>
          <rPr>
            <sz val="8"/>
            <rFont val="Tahoma"/>
            <family val="0"/>
          </rPr>
          <t>Problems with electronic counters</t>
        </r>
      </text>
    </comment>
    <comment ref="J20" authorId="0">
      <text>
        <r>
          <rPr>
            <sz val="8"/>
            <rFont val="Tahoma"/>
            <family val="0"/>
          </rPr>
          <t>Problems with electronic counters</t>
        </r>
      </text>
    </comment>
    <comment ref="AN26" authorId="0">
      <text>
        <r>
          <rPr>
            <sz val="8"/>
            <rFont val="Tahoma"/>
            <family val="0"/>
          </rPr>
          <t>District records, not in HMIS.</t>
        </r>
      </text>
    </comment>
    <comment ref="AQ26" authorId="0">
      <text>
        <r>
          <rPr>
            <sz val="8"/>
            <rFont val="Tahoma"/>
            <family val="0"/>
          </rPr>
          <t>District records, not in HMIS.</t>
        </r>
      </text>
    </comment>
    <comment ref="AQ27" authorId="0">
      <text>
        <r>
          <rPr>
            <sz val="8"/>
            <rFont val="Tahoma"/>
            <family val="0"/>
          </rPr>
          <t>District records, not in HMIS.</t>
        </r>
      </text>
    </comment>
    <comment ref="AQ28" authorId="0">
      <text>
        <r>
          <rPr>
            <sz val="8"/>
            <rFont val="Tahoma"/>
            <family val="0"/>
          </rPr>
          <t>District records, not in HMIS.</t>
        </r>
      </text>
    </comment>
    <comment ref="AQ29" authorId="0">
      <text>
        <r>
          <rPr>
            <sz val="8"/>
            <rFont val="Tahoma"/>
            <family val="0"/>
          </rPr>
          <t>District records, not in HMIS.</t>
        </r>
      </text>
    </comment>
    <comment ref="BI25" authorId="0">
      <text>
        <r>
          <rPr>
            <sz val="8"/>
            <rFont val="Tahoma"/>
            <family val="0"/>
          </rPr>
          <t>Transfer recorded, but release missing.</t>
        </r>
      </text>
    </comment>
    <comment ref="BI30" authorId="0">
      <text>
        <r>
          <rPr>
            <sz val="8"/>
            <rFont val="Tahoma"/>
            <family val="0"/>
          </rPr>
          <t>Transfer recorded, but release missing.</t>
        </r>
      </text>
    </comment>
    <comment ref="BE29" authorId="0">
      <text>
        <r>
          <rPr>
            <sz val="8"/>
            <rFont val="Tahoma"/>
            <family val="0"/>
          </rPr>
          <t>Transfer recorded, but release missing.</t>
        </r>
      </text>
    </comment>
    <comment ref="BE30" authorId="0">
      <text>
        <r>
          <rPr>
            <sz val="8"/>
            <rFont val="Tahoma"/>
            <family val="0"/>
          </rPr>
          <t>Transfer recorded, but release missing.</t>
        </r>
      </text>
    </comment>
    <comment ref="AS26" authorId="0">
      <text>
        <r>
          <rPr>
            <sz val="8"/>
            <rFont val="Tahoma"/>
            <family val="0"/>
          </rPr>
          <t>Transfer recorded, but release missing.</t>
        </r>
      </text>
    </comment>
    <comment ref="V26" authorId="0">
      <text>
        <r>
          <rPr>
            <sz val="8"/>
            <rFont val="Tahoma"/>
            <family val="0"/>
          </rPr>
          <t>Transfer recorded, but release missing.</t>
        </r>
      </text>
    </comment>
    <comment ref="V28" authorId="0">
      <text>
        <r>
          <rPr>
            <sz val="8"/>
            <rFont val="Tahoma"/>
            <family val="0"/>
          </rPr>
          <t>Transfer recorded, but release missing.</t>
        </r>
      </text>
    </comment>
    <comment ref="V29" authorId="0">
      <text>
        <r>
          <rPr>
            <sz val="8"/>
            <rFont val="Tahoma"/>
            <family val="0"/>
          </rPr>
          <t>Transfer recorded, but release missing.</t>
        </r>
      </text>
    </comment>
    <comment ref="V30" authorId="0">
      <text>
        <r>
          <rPr>
            <sz val="8"/>
            <rFont val="Tahoma"/>
            <family val="0"/>
          </rPr>
          <t>Transfer recorded, but release missing.</t>
        </r>
      </text>
    </comment>
    <comment ref="AH22" authorId="0">
      <text>
        <r>
          <rPr>
            <sz val="8"/>
            <rFont val="Tahoma"/>
            <family val="0"/>
          </rPr>
          <t>Transfer recorded, but release missing.</t>
        </r>
      </text>
    </comment>
    <comment ref="BG30" authorId="0">
      <text>
        <r>
          <rPr>
            <sz val="8"/>
            <rFont val="Tahoma"/>
            <family val="0"/>
          </rPr>
          <t>Number of eggs sent to STEP</t>
        </r>
      </text>
    </comment>
    <comment ref="BC30" authorId="0">
      <text>
        <r>
          <rPr>
            <sz val="8"/>
            <rFont val="Tahoma"/>
            <family val="0"/>
          </rPr>
          <t>Number of eggs sent to STEP</t>
        </r>
      </text>
    </comment>
    <comment ref="AL30" authorId="0">
      <text>
        <r>
          <rPr>
            <sz val="8"/>
            <rFont val="Tahoma"/>
            <family val="0"/>
          </rPr>
          <t>District records, not in HMIS.</t>
        </r>
      </text>
    </comment>
    <comment ref="AQ30" authorId="0">
      <text>
        <r>
          <rPr>
            <sz val="8"/>
            <rFont val="Tahoma"/>
            <family val="0"/>
          </rPr>
          <t>District records, not in HMIS.</t>
        </r>
      </text>
    </comment>
  </commentList>
</comments>
</file>

<file path=xl/sharedStrings.xml><?xml version="1.0" encoding="utf-8"?>
<sst xmlns="http://schemas.openxmlformats.org/spreadsheetml/2006/main" count="219" uniqueCount="83">
  <si>
    <t>Hatchery Coho Releases, by Population in the Oregon Coast ESU</t>
  </si>
  <si>
    <t>Necanicum</t>
  </si>
  <si>
    <t>Nehalem</t>
  </si>
  <si>
    <t>Tillamook</t>
  </si>
  <si>
    <t>Nestucca</t>
  </si>
  <si>
    <t>North Coast MA</t>
  </si>
  <si>
    <t>Salmon</t>
  </si>
  <si>
    <t>Siletz</t>
  </si>
  <si>
    <t>Yaquina</t>
  </si>
  <si>
    <t>Alsea</t>
  </si>
  <si>
    <t>Siuslaw</t>
  </si>
  <si>
    <t>Mid Coast MA</t>
  </si>
  <si>
    <t>Lower Umpqua</t>
  </si>
  <si>
    <t>Upper Umpqua</t>
  </si>
  <si>
    <t>Umpqua MA</t>
  </si>
  <si>
    <t>Coos</t>
  </si>
  <si>
    <t>Coquille</t>
  </si>
  <si>
    <t>Sixes</t>
  </si>
  <si>
    <t>Mid-South Coast MA</t>
  </si>
  <si>
    <t>ESU Total</t>
  </si>
  <si>
    <t>Release</t>
  </si>
  <si>
    <t>Unfed</t>
  </si>
  <si>
    <t>Year</t>
  </si>
  <si>
    <t>Fry</t>
  </si>
  <si>
    <t>Fry/Fing</t>
  </si>
  <si>
    <t>Smolt</t>
  </si>
  <si>
    <t>Fry (Y)</t>
  </si>
  <si>
    <t>Pre-OPSW</t>
  </si>
  <si>
    <t>Avg.</t>
  </si>
  <si>
    <t>Min</t>
  </si>
  <si>
    <t>Max</t>
  </si>
  <si>
    <t>Post-OPSW</t>
  </si>
  <si>
    <t>Hatchery Coho Releases, by Monitoring Area (and Total) in the Oregon Coast ESU</t>
  </si>
  <si>
    <t>Dependent Popns</t>
  </si>
  <si>
    <t>No Shading</t>
  </si>
  <si>
    <t xml:space="preserve"> = Independed Populations.</t>
  </si>
  <si>
    <t>Green</t>
  </si>
  <si>
    <t>Yellow</t>
  </si>
  <si>
    <t xml:space="preserve"> = Dependent Populations.</t>
  </si>
  <si>
    <t xml:space="preserve"> = Potentially Independed Populations.</t>
  </si>
  <si>
    <t>Beaver Creek</t>
  </si>
  <si>
    <t>Floras</t>
  </si>
  <si>
    <t>Siltcoos Lake</t>
  </si>
  <si>
    <t>Tahkenitch Lake</t>
  </si>
  <si>
    <t>Tenmile Lake</t>
  </si>
  <si>
    <t>Private</t>
  </si>
  <si>
    <t>Hatchery</t>
  </si>
  <si>
    <t>Daley Lake</t>
  </si>
  <si>
    <t>Watseco Creek</t>
  </si>
  <si>
    <t>Spring Lake</t>
  </si>
  <si>
    <t>Sand Lake &amp; Tribs</t>
  </si>
  <si>
    <t>Cape Arch Creek</t>
  </si>
  <si>
    <t>Asbury Creek</t>
  </si>
  <si>
    <t>Depoe Bay &amp; Tribs</t>
  </si>
  <si>
    <t>Little Creek</t>
  </si>
  <si>
    <t>Moolack Creek</t>
  </si>
  <si>
    <t>Big Cr &amp; Tribs</t>
  </si>
  <si>
    <t>Twomile Creek</t>
  </si>
  <si>
    <t>Fourmile Creek</t>
  </si>
  <si>
    <t>China Creek</t>
  </si>
  <si>
    <t>Release Year = The calendar year in which the fish were released into the natural environment. (In a few cases where unfed fry were released in late December, they were included in the following calendar years releases.)</t>
  </si>
  <si>
    <t>Unfed Fry = Juvenile coho that were incubated/reared through hatching and emergence, but were released prior to the onset of feeding.</t>
  </si>
  <si>
    <t>Fry/Fingerling = Juvenile coho incubated/reared in the hatchery past the onset of feeding and were released at a size less than 20 fish/lb (about 23 gm/fish).</t>
  </si>
  <si>
    <t>Smolt = Juvenile coho incubated/reared in the hatchery past the onset of feeding and were released at a size greater than 20 fish/lb (about 23 gm/fish).</t>
  </si>
  <si>
    <t>Total</t>
  </si>
  <si>
    <t>ODFW Total (in millions)</t>
  </si>
  <si>
    <t xml:space="preserve">        (in millions)</t>
  </si>
  <si>
    <t>Shading on "Rel. by Popn" worksheet.</t>
  </si>
  <si>
    <t xml:space="preserve"> = Electronic data is not available this far back.</t>
  </si>
  <si>
    <t>The private hatchery coho release data was obtained from the Pacific States Marine Fisheries Commission online database (http://www.rmis.org/).</t>
  </si>
  <si>
    <t>Column Definitions</t>
  </si>
  <si>
    <t>Data Source</t>
  </si>
  <si>
    <t>Coho release data for ODFW hatcheries and Salmon and Trout Enhancement Program (STEP) projects was obtained from the Hatchery Management Information System (HMIS) database</t>
  </si>
  <si>
    <t xml:space="preserve">located at the ODFW headquarters in Salem Oregon.  Where release data was missing or incomplete in HMIS, the missing information was added from other sources (district records, </t>
  </si>
  <si>
    <t>Inserted comments are also used to note releases of "excess" fish in to lakes and reservoirs.  These fish are not intended to produce smolts, but to enhance "Trout" fisheries.</t>
  </si>
  <si>
    <t>Cautions</t>
  </si>
  <si>
    <t>The release numbers and sizes are estimates based on a variety of methods, and we do not have measures of the varience associated with each point estimate.   The data here is preliminary,</t>
  </si>
  <si>
    <t>and is subject to change as missing or inacurate information is discovered.</t>
  </si>
  <si>
    <t>ESU</t>
  </si>
  <si>
    <t>by population, by monitoring area, and total for the ESU.  Data for the 1980 through 1989 releases is included for the ESU totals, monitoring area totals, and for the Yaquina, Siuslaw and Coos Populations.</t>
  </si>
  <si>
    <r>
      <t xml:space="preserve">hatchery records, or transfer records in HMIS).  Where these additional sources were used the data comes after a "+0", and the cell is in </t>
    </r>
    <r>
      <rPr>
        <i/>
        <sz val="10"/>
        <rFont val="Times New Roman"/>
        <family val="1"/>
      </rPr>
      <t>italics</t>
    </r>
    <r>
      <rPr>
        <sz val="10"/>
        <rFont val="Times New Roman"/>
        <family val="0"/>
      </rPr>
      <t xml:space="preserve"> with inserted comments explaining where it came from.</t>
    </r>
  </si>
  <si>
    <t xml:space="preserve">This spreadsheet reports releases of hatchery coho juveniles in the Oregon Coast Coho ESU for the period 1990 through 2003.  The data is reported by release year and is summarized at 3 levels; </t>
  </si>
  <si>
    <t xml:space="preserve"> = Electronic data is available but was not summarized at this geographic scale for this report.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</si>
</sst>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
    <numFmt numFmtId="168" formatCode="#,##0.000"/>
  </numFmts>
  <fonts count="15">
    <font>
      <sz val="10"/>
      <name val="Times New Roman"/>
      <family val="0"/>
    </font>
    <font>
      <u val="single"/>
      <sz val="10"/>
      <color indexed="36"/>
      <name val="Times New Roman"/>
      <family val="0"/>
    </font>
    <font>
      <u val="single"/>
      <sz val="10"/>
      <color indexed="12"/>
      <name val="Times New Roman"/>
      <family val="0"/>
    </font>
    <font>
      <b/>
      <sz val="12"/>
      <name val="Times New Roman"/>
      <family val="1"/>
    </font>
    <font>
      <b/>
      <sz val="10"/>
      <name val="Times New Roman"/>
      <family val="1"/>
    </font>
    <font>
      <sz val="8"/>
      <name val="Times New Roman"/>
      <family val="1"/>
    </font>
    <font>
      <u val="single"/>
      <sz val="10"/>
      <name val="Times New Roman"/>
      <family val="1"/>
    </font>
    <font>
      <b/>
      <u val="single"/>
      <sz val="10"/>
      <name val="Times New Roman"/>
      <family val="1"/>
    </font>
    <font>
      <sz val="8"/>
      <name val="Tahoma"/>
      <family val="0"/>
    </font>
    <font>
      <b/>
      <u val="single"/>
      <sz val="12"/>
      <name val="Times New Roman"/>
      <family val="1"/>
    </font>
    <font>
      <i/>
      <sz val="10"/>
      <name val="Times New Roman"/>
      <family val="1"/>
    </font>
    <font>
      <b/>
      <sz val="10.25"/>
      <name val="Times New Roman"/>
      <family val="1"/>
    </font>
    <font>
      <sz val="8.5"/>
      <name val="Times New Roman"/>
      <family val="1"/>
    </font>
    <font>
      <i/>
      <sz val="10"/>
      <color indexed="8"/>
      <name val="Times New Roman"/>
      <family val="1"/>
    </font>
    <font>
      <b/>
      <sz val="8"/>
      <name val="Times New Roman"/>
      <family val="2"/>
    </font>
  </fonts>
  <fills count="9">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8"/>
        <bgColor indexed="64"/>
      </patternFill>
    </fill>
    <fill>
      <patternFill patternType="solid">
        <fgColor indexed="12"/>
        <bgColor indexed="64"/>
      </patternFill>
    </fill>
    <fill>
      <patternFill patternType="solid">
        <fgColor indexed="12"/>
        <bgColor indexed="64"/>
      </patternFill>
    </fill>
  </fills>
  <borders count="2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double"/>
      <top>
        <color indexed="63"/>
      </top>
      <bottom>
        <color indexed="63"/>
      </bottom>
    </border>
    <border>
      <left>
        <color indexed="63"/>
      </left>
      <right style="double"/>
      <top>
        <color indexed="63"/>
      </top>
      <bottom style="medium"/>
    </border>
    <border>
      <left>
        <color indexed="63"/>
      </left>
      <right style="double"/>
      <top>
        <color indexed="63"/>
      </top>
      <bottom style="thin"/>
    </border>
    <border>
      <left>
        <color indexed="63"/>
      </left>
      <right style="medium"/>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medium"/>
      <bottom>
        <color indexed="63"/>
      </bottom>
    </border>
    <border>
      <left style="double"/>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3" fillId="0" borderId="0" xfId="0" applyFont="1" applyAlignment="1">
      <alignment/>
    </xf>
    <xf numFmtId="3" fontId="0" fillId="0" borderId="0" xfId="0" applyNumberFormat="1" applyAlignment="1">
      <alignment/>
    </xf>
    <xf numFmtId="3" fontId="0" fillId="0" borderId="0" xfId="0" applyNumberFormat="1" applyFont="1" applyAlignment="1">
      <alignment/>
    </xf>
    <xf numFmtId="3" fontId="4" fillId="0" borderId="0" xfId="0" applyNumberFormat="1" applyFont="1" applyAlignment="1">
      <alignment/>
    </xf>
    <xf numFmtId="0" fontId="0" fillId="0" borderId="1" xfId="0" applyBorder="1" applyAlignment="1">
      <alignment/>
    </xf>
    <xf numFmtId="3" fontId="5" fillId="0" borderId="0" xfId="0" applyNumberFormat="1" applyFont="1" applyAlignment="1">
      <alignment/>
    </xf>
    <xf numFmtId="3" fontId="6" fillId="0" borderId="0" xfId="0" applyNumberFormat="1" applyFont="1" applyAlignment="1">
      <alignment horizontal="center"/>
    </xf>
    <xf numFmtId="3" fontId="7" fillId="0" borderId="0" xfId="0" applyNumberFormat="1" applyFont="1" applyAlignment="1">
      <alignment horizontal="center"/>
    </xf>
    <xf numFmtId="0" fontId="0" fillId="0" borderId="1" xfId="0" applyBorder="1" applyAlignment="1">
      <alignment horizontal="center"/>
    </xf>
    <xf numFmtId="3" fontId="0" fillId="0" borderId="0" xfId="0" applyNumberFormat="1" applyAlignment="1">
      <alignment horizontal="center"/>
    </xf>
    <xf numFmtId="3" fontId="0" fillId="0" borderId="0" xfId="0" applyNumberFormat="1" applyFont="1" applyAlignment="1">
      <alignment horizontal="center"/>
    </xf>
    <xf numFmtId="3" fontId="4" fillId="0" borderId="0" xfId="0" applyNumberFormat="1" applyFont="1" applyAlignment="1">
      <alignment horizontal="center"/>
    </xf>
    <xf numFmtId="0" fontId="0" fillId="0" borderId="2" xfId="0" applyBorder="1" applyAlignment="1">
      <alignment horizontal="center"/>
    </xf>
    <xf numFmtId="3" fontId="0" fillId="0" borderId="3" xfId="0" applyNumberFormat="1" applyBorder="1" applyAlignment="1">
      <alignment horizontal="center"/>
    </xf>
    <xf numFmtId="3" fontId="0" fillId="0" borderId="3" xfId="0" applyNumberFormat="1" applyFont="1" applyBorder="1" applyAlignment="1">
      <alignment horizontal="center"/>
    </xf>
    <xf numFmtId="3" fontId="4" fillId="0" borderId="3" xfId="0" applyNumberFormat="1" applyFont="1" applyBorder="1" applyAlignment="1">
      <alignment horizontal="center"/>
    </xf>
    <xf numFmtId="3" fontId="0" fillId="0" borderId="0" xfId="0" applyNumberFormat="1" applyBorder="1" applyAlignment="1">
      <alignment horizontal="center"/>
    </xf>
    <xf numFmtId="3" fontId="0" fillId="2" borderId="0" xfId="0" applyNumberFormat="1" applyFill="1" applyBorder="1" applyAlignment="1">
      <alignment/>
    </xf>
    <xf numFmtId="3" fontId="0" fillId="0" borderId="0" xfId="0" applyNumberFormat="1" applyBorder="1" applyAlignment="1">
      <alignment/>
    </xf>
    <xf numFmtId="3" fontId="4" fillId="2" borderId="0" xfId="0" applyNumberFormat="1" applyFont="1" applyFill="1" applyAlignment="1">
      <alignment/>
    </xf>
    <xf numFmtId="3" fontId="4" fillId="0" borderId="0" xfId="0" applyNumberFormat="1" applyFont="1" applyFill="1" applyAlignment="1">
      <alignment/>
    </xf>
    <xf numFmtId="3" fontId="0" fillId="0" borderId="0" xfId="0" applyNumberFormat="1" applyFont="1" applyBorder="1" applyAlignment="1">
      <alignment/>
    </xf>
    <xf numFmtId="3" fontId="4" fillId="3" borderId="0" xfId="0" applyNumberFormat="1" applyFont="1" applyFill="1" applyAlignment="1">
      <alignment/>
    </xf>
    <xf numFmtId="3" fontId="4" fillId="3" borderId="4" xfId="0" applyNumberFormat="1" applyFont="1" applyFill="1" applyBorder="1" applyAlignment="1">
      <alignment/>
    </xf>
    <xf numFmtId="3" fontId="0" fillId="4" borderId="0" xfId="0" applyNumberFormat="1" applyFont="1" applyFill="1" applyAlignment="1">
      <alignment/>
    </xf>
    <xf numFmtId="3" fontId="4" fillId="4" borderId="0" xfId="0" applyNumberFormat="1" applyFont="1" applyFill="1" applyAlignment="1">
      <alignment/>
    </xf>
    <xf numFmtId="3" fontId="4" fillId="4" borderId="3" xfId="0" applyNumberFormat="1" applyFont="1" applyFill="1" applyBorder="1" applyAlignment="1">
      <alignment/>
    </xf>
    <xf numFmtId="166" fontId="4" fillId="0" borderId="0" xfId="21" applyNumberFormat="1" applyFont="1" applyAlignment="1">
      <alignment/>
    </xf>
    <xf numFmtId="3" fontId="0" fillId="0" borderId="1" xfId="0" applyNumberFormat="1" applyBorder="1" applyAlignment="1">
      <alignment/>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1" xfId="0" applyNumberFormat="1" applyBorder="1" applyAlignment="1">
      <alignment/>
    </xf>
    <xf numFmtId="3" fontId="0" fillId="4" borderId="1" xfId="0" applyNumberFormat="1" applyFill="1" applyBorder="1" applyAlignment="1">
      <alignment/>
    </xf>
    <xf numFmtId="3" fontId="4" fillId="4" borderId="1" xfId="0" applyNumberFormat="1" applyFont="1" applyFill="1" applyBorder="1" applyAlignment="1">
      <alignment/>
    </xf>
    <xf numFmtId="3" fontId="4" fillId="4" borderId="2" xfId="0" applyNumberFormat="1" applyFont="1" applyFill="1" applyBorder="1" applyAlignment="1">
      <alignment/>
    </xf>
    <xf numFmtId="3" fontId="4" fillId="0" borderId="1" xfId="0" applyNumberFormat="1" applyFont="1" applyBorder="1" applyAlignment="1">
      <alignment/>
    </xf>
    <xf numFmtId="3" fontId="4" fillId="0" borderId="1" xfId="0" applyNumberFormat="1" applyFont="1" applyBorder="1" applyAlignment="1">
      <alignment horizontal="center"/>
    </xf>
    <xf numFmtId="3" fontId="4" fillId="0" borderId="2" xfId="0" applyNumberFormat="1" applyFont="1" applyBorder="1" applyAlignment="1">
      <alignment horizontal="center"/>
    </xf>
    <xf numFmtId="3" fontId="4" fillId="0" borderId="1" xfId="0" applyNumberFormat="1" applyFont="1" applyFill="1" applyBorder="1" applyAlignment="1">
      <alignment/>
    </xf>
    <xf numFmtId="3" fontId="4" fillId="4" borderId="0" xfId="0" applyNumberFormat="1" applyFont="1" applyFill="1" applyBorder="1" applyAlignment="1">
      <alignment/>
    </xf>
    <xf numFmtId="0" fontId="0" fillId="0" borderId="1" xfId="0" applyFill="1" applyBorder="1" applyAlignment="1">
      <alignment horizontal="center"/>
    </xf>
    <xf numFmtId="0" fontId="0" fillId="0" borderId="0" xfId="0" applyFill="1" applyAlignment="1">
      <alignment/>
    </xf>
    <xf numFmtId="3" fontId="0" fillId="0" borderId="0" xfId="0" applyNumberFormat="1" applyFont="1" applyFill="1" applyAlignment="1">
      <alignment/>
    </xf>
    <xf numFmtId="0" fontId="0" fillId="0" borderId="5" xfId="0" applyFill="1" applyBorder="1" applyAlignment="1">
      <alignment horizontal="center"/>
    </xf>
    <xf numFmtId="3" fontId="4" fillId="0" borderId="4" xfId="0" applyNumberFormat="1" applyFont="1" applyFill="1" applyBorder="1" applyAlignment="1">
      <alignment/>
    </xf>
    <xf numFmtId="3" fontId="4" fillId="0" borderId="3" xfId="0" applyNumberFormat="1" applyFont="1" applyFill="1" applyBorder="1" applyAlignment="1">
      <alignment/>
    </xf>
    <xf numFmtId="0" fontId="0" fillId="0" borderId="1" xfId="0" applyFill="1" applyBorder="1" applyAlignment="1">
      <alignment/>
    </xf>
    <xf numFmtId="0" fontId="0" fillId="0" borderId="1" xfId="0" applyFill="1" applyBorder="1" applyAlignment="1">
      <alignment horizontal="right"/>
    </xf>
    <xf numFmtId="0" fontId="0" fillId="0" borderId="5" xfId="0" applyFill="1" applyBorder="1" applyAlignment="1">
      <alignment horizontal="right"/>
    </xf>
    <xf numFmtId="0" fontId="0" fillId="0" borderId="2" xfId="0" applyFill="1" applyBorder="1" applyAlignment="1">
      <alignment horizontal="right"/>
    </xf>
    <xf numFmtId="3" fontId="0" fillId="0" borderId="6" xfId="0" applyNumberFormat="1" applyBorder="1" applyAlignment="1">
      <alignment/>
    </xf>
    <xf numFmtId="3" fontId="0" fillId="0" borderId="6" xfId="0" applyNumberFormat="1" applyBorder="1" applyAlignment="1">
      <alignment horizontal="center"/>
    </xf>
    <xf numFmtId="3" fontId="0" fillId="0" borderId="7" xfId="0" applyNumberFormat="1" applyBorder="1" applyAlignment="1">
      <alignment horizontal="center"/>
    </xf>
    <xf numFmtId="3" fontId="0" fillId="3" borderId="6" xfId="0" applyNumberFormat="1" applyFill="1" applyBorder="1" applyAlignment="1">
      <alignment/>
    </xf>
    <xf numFmtId="3" fontId="4" fillId="3" borderId="6" xfId="0" applyNumberFormat="1" applyFont="1" applyFill="1" applyBorder="1" applyAlignment="1">
      <alignment/>
    </xf>
    <xf numFmtId="3" fontId="4" fillId="3" borderId="8" xfId="0" applyNumberFormat="1" applyFont="1" applyFill="1" applyBorder="1" applyAlignment="1">
      <alignment/>
    </xf>
    <xf numFmtId="3" fontId="0" fillId="4" borderId="1" xfId="0" applyNumberFormat="1" applyFont="1" applyFill="1" applyBorder="1" applyAlignment="1">
      <alignment/>
    </xf>
    <xf numFmtId="3" fontId="9" fillId="0" borderId="0" xfId="0" applyNumberFormat="1" applyFont="1" applyAlignment="1">
      <alignment horizontal="center"/>
    </xf>
    <xf numFmtId="3" fontId="4" fillId="0" borderId="6" xfId="0" applyNumberFormat="1" applyFont="1" applyFill="1" applyBorder="1" applyAlignment="1">
      <alignment/>
    </xf>
    <xf numFmtId="3" fontId="4" fillId="0" borderId="5" xfId="0" applyNumberFormat="1" applyFont="1" applyFill="1" applyBorder="1" applyAlignment="1">
      <alignment/>
    </xf>
    <xf numFmtId="3" fontId="4" fillId="0" borderId="8" xfId="0" applyNumberFormat="1" applyFont="1" applyFill="1" applyBorder="1" applyAlignment="1">
      <alignment/>
    </xf>
    <xf numFmtId="3" fontId="4" fillId="0" borderId="2" xfId="0" applyNumberFormat="1" applyFont="1" applyFill="1" applyBorder="1" applyAlignment="1">
      <alignment/>
    </xf>
    <xf numFmtId="3" fontId="4" fillId="0" borderId="7" xfId="0" applyNumberFormat="1" applyFont="1" applyFill="1" applyBorder="1" applyAlignment="1">
      <alignment/>
    </xf>
    <xf numFmtId="3" fontId="5" fillId="5" borderId="0" xfId="0" applyNumberFormat="1" applyFont="1" applyFill="1" applyAlignment="1">
      <alignment/>
    </xf>
    <xf numFmtId="3" fontId="6" fillId="5" borderId="0" xfId="0" applyNumberFormat="1" applyFont="1" applyFill="1" applyAlignment="1">
      <alignment horizontal="center"/>
    </xf>
    <xf numFmtId="3" fontId="0" fillId="5" borderId="1" xfId="0" applyNumberFormat="1" applyFill="1" applyBorder="1" applyAlignment="1">
      <alignment/>
    </xf>
    <xf numFmtId="3" fontId="0" fillId="5" borderId="0" xfId="0" applyNumberFormat="1" applyFill="1" applyAlignment="1">
      <alignment horizontal="center"/>
    </xf>
    <xf numFmtId="3" fontId="0" fillId="5" borderId="1" xfId="0" applyNumberFormat="1" applyFill="1" applyBorder="1" applyAlignment="1">
      <alignment horizontal="center"/>
    </xf>
    <xf numFmtId="3" fontId="0" fillId="5" borderId="3" xfId="0" applyNumberFormat="1" applyFill="1" applyBorder="1" applyAlignment="1">
      <alignment horizontal="center"/>
    </xf>
    <xf numFmtId="3" fontId="0" fillId="5" borderId="2" xfId="0" applyNumberFormat="1" applyFill="1" applyBorder="1" applyAlignment="1">
      <alignment horizontal="center"/>
    </xf>
    <xf numFmtId="3" fontId="4" fillId="5" borderId="0" xfId="0" applyNumberFormat="1" applyFont="1" applyFill="1" applyAlignment="1">
      <alignment/>
    </xf>
    <xf numFmtId="3" fontId="4" fillId="5" borderId="1" xfId="0" applyNumberFormat="1" applyFont="1" applyFill="1" applyBorder="1" applyAlignment="1">
      <alignment/>
    </xf>
    <xf numFmtId="3" fontId="4" fillId="5" borderId="4" xfId="0" applyNumberFormat="1" applyFont="1" applyFill="1" applyBorder="1" applyAlignment="1">
      <alignment/>
    </xf>
    <xf numFmtId="3" fontId="4" fillId="5" borderId="5" xfId="0" applyNumberFormat="1" applyFont="1" applyFill="1" applyBorder="1" applyAlignment="1">
      <alignment/>
    </xf>
    <xf numFmtId="3" fontId="4" fillId="5" borderId="3" xfId="0" applyNumberFormat="1" applyFont="1" applyFill="1" applyBorder="1" applyAlignment="1">
      <alignment/>
    </xf>
    <xf numFmtId="3" fontId="4" fillId="5" borderId="2" xfId="0" applyNumberFormat="1" applyFont="1" applyFill="1" applyBorder="1" applyAlignment="1">
      <alignment/>
    </xf>
    <xf numFmtId="3" fontId="0" fillId="0" borderId="0" xfId="0" applyNumberFormat="1" applyBorder="1" applyAlignment="1">
      <alignment/>
    </xf>
    <xf numFmtId="3" fontId="5" fillId="3" borderId="0" xfId="0" applyNumberFormat="1" applyFont="1" applyFill="1" applyAlignment="1">
      <alignment/>
    </xf>
    <xf numFmtId="3" fontId="6" fillId="3" borderId="0" xfId="0" applyNumberFormat="1" applyFont="1" applyFill="1" applyAlignment="1">
      <alignment horizontal="center"/>
    </xf>
    <xf numFmtId="3" fontId="0" fillId="3" borderId="0" xfId="0" applyNumberFormat="1" applyFill="1" applyAlignment="1">
      <alignment horizontal="center"/>
    </xf>
    <xf numFmtId="3" fontId="0" fillId="3" borderId="6" xfId="0" applyNumberFormat="1" applyFill="1" applyBorder="1" applyAlignment="1">
      <alignment horizontal="center"/>
    </xf>
    <xf numFmtId="3" fontId="0" fillId="3" borderId="3" xfId="0" applyNumberFormat="1" applyFill="1" applyBorder="1" applyAlignment="1">
      <alignment horizontal="center"/>
    </xf>
    <xf numFmtId="3" fontId="0" fillId="3" borderId="7" xfId="0" applyNumberFormat="1" applyFill="1" applyBorder="1" applyAlignment="1">
      <alignment horizontal="center"/>
    </xf>
    <xf numFmtId="3" fontId="4" fillId="3" borderId="3" xfId="0" applyNumberFormat="1" applyFont="1" applyFill="1" applyBorder="1" applyAlignment="1">
      <alignment/>
    </xf>
    <xf numFmtId="3" fontId="4" fillId="3" borderId="7" xfId="0" applyNumberFormat="1" applyFont="1" applyFill="1" applyBorder="1" applyAlignment="1">
      <alignment/>
    </xf>
    <xf numFmtId="0" fontId="0" fillId="4" borderId="0" xfId="0" applyFill="1" applyAlignment="1">
      <alignment/>
    </xf>
    <xf numFmtId="0" fontId="0" fillId="3" borderId="0" xfId="0" applyFill="1" applyAlignment="1">
      <alignment/>
    </xf>
    <xf numFmtId="0" fontId="0" fillId="0" borderId="0" xfId="0" applyAlignment="1" quotePrefix="1">
      <alignment/>
    </xf>
    <xf numFmtId="3" fontId="6" fillId="4" borderId="0" xfId="0" applyNumberFormat="1" applyFont="1" applyFill="1" applyAlignment="1">
      <alignment horizontal="center"/>
    </xf>
    <xf numFmtId="3" fontId="0" fillId="4" borderId="0" xfId="0" applyNumberFormat="1" applyFill="1" applyAlignment="1">
      <alignment horizontal="center"/>
    </xf>
    <xf numFmtId="3" fontId="0" fillId="4" borderId="1" xfId="0" applyNumberFormat="1" applyFill="1" applyBorder="1" applyAlignment="1">
      <alignment horizontal="center"/>
    </xf>
    <xf numFmtId="3" fontId="0" fillId="4" borderId="3" xfId="0" applyNumberFormat="1" applyFill="1" applyBorder="1" applyAlignment="1">
      <alignment horizontal="center"/>
    </xf>
    <xf numFmtId="3" fontId="0" fillId="4" borderId="2" xfId="0" applyNumberFormat="1" applyFill="1" applyBorder="1" applyAlignment="1">
      <alignment horizontal="center"/>
    </xf>
    <xf numFmtId="3" fontId="0" fillId="4" borderId="0" xfId="0" applyNumberFormat="1" applyFill="1" applyBorder="1" applyAlignment="1">
      <alignment horizontal="center"/>
    </xf>
    <xf numFmtId="3" fontId="4" fillId="4" borderId="4" xfId="0" applyNumberFormat="1" applyFont="1" applyFill="1" applyBorder="1" applyAlignment="1">
      <alignment/>
    </xf>
    <xf numFmtId="3" fontId="4" fillId="4" borderId="5" xfId="0" applyNumberFormat="1" applyFont="1" applyFill="1" applyBorder="1" applyAlignment="1">
      <alignment/>
    </xf>
    <xf numFmtId="3" fontId="0" fillId="4" borderId="4" xfId="0" applyNumberFormat="1" applyFont="1" applyFill="1" applyBorder="1" applyAlignment="1">
      <alignment/>
    </xf>
    <xf numFmtId="3" fontId="0" fillId="4" borderId="5" xfId="0" applyNumberFormat="1" applyFont="1" applyFill="1" applyBorder="1" applyAlignment="1">
      <alignment/>
    </xf>
    <xf numFmtId="3" fontId="9" fillId="0" borderId="0" xfId="0" applyNumberFormat="1" applyFont="1" applyAlignment="1">
      <alignment horizontal="left"/>
    </xf>
    <xf numFmtId="3" fontId="4" fillId="0" borderId="0" xfId="0" applyNumberFormat="1" applyFont="1" applyFill="1" applyBorder="1" applyAlignment="1">
      <alignment/>
    </xf>
    <xf numFmtId="3" fontId="0" fillId="0" borderId="1" xfId="0" applyNumberFormat="1" applyFont="1" applyBorder="1" applyAlignment="1">
      <alignment horizontal="center"/>
    </xf>
    <xf numFmtId="3" fontId="0" fillId="0" borderId="2" xfId="0" applyNumberFormat="1" applyFont="1" applyBorder="1" applyAlignment="1">
      <alignment horizontal="center"/>
    </xf>
    <xf numFmtId="3" fontId="0" fillId="0" borderId="1" xfId="0" applyNumberFormat="1" applyFont="1" applyFill="1" applyBorder="1" applyAlignment="1">
      <alignment/>
    </xf>
    <xf numFmtId="3" fontId="0" fillId="0" borderId="5" xfId="0" applyNumberFormat="1" applyFont="1" applyFill="1" applyBorder="1" applyAlignment="1">
      <alignment/>
    </xf>
    <xf numFmtId="3" fontId="0" fillId="0" borderId="1" xfId="0" applyNumberFormat="1" applyFont="1" applyBorder="1" applyAlignment="1">
      <alignment/>
    </xf>
    <xf numFmtId="3" fontId="0" fillId="0" borderId="1" xfId="0" applyNumberFormat="1" applyFont="1" applyFill="1" applyBorder="1" applyAlignment="1">
      <alignment/>
    </xf>
    <xf numFmtId="3" fontId="0" fillId="0" borderId="5" xfId="0" applyNumberFormat="1" applyFont="1" applyFill="1" applyBorder="1" applyAlignment="1">
      <alignment/>
    </xf>
    <xf numFmtId="3" fontId="0" fillId="4" borderId="0" xfId="0" applyNumberFormat="1" applyFont="1" applyFill="1" applyBorder="1" applyAlignment="1">
      <alignment/>
    </xf>
    <xf numFmtId="0" fontId="0" fillId="0" borderId="9" xfId="0" applyFill="1" applyBorder="1" applyAlignment="1">
      <alignment/>
    </xf>
    <xf numFmtId="3" fontId="0" fillId="5" borderId="10" xfId="0" applyNumberFormat="1" applyFill="1" applyBorder="1" applyAlignment="1">
      <alignment/>
    </xf>
    <xf numFmtId="3" fontId="0" fillId="5" borderId="9" xfId="0" applyNumberFormat="1" applyFill="1" applyBorder="1" applyAlignment="1">
      <alignment/>
    </xf>
    <xf numFmtId="3" fontId="0" fillId="0" borderId="10" xfId="0" applyNumberFormat="1" applyFill="1" applyBorder="1" applyAlignment="1">
      <alignment/>
    </xf>
    <xf numFmtId="3" fontId="0" fillId="0" borderId="9" xfId="0" applyNumberFormat="1" applyFill="1" applyBorder="1" applyAlignment="1">
      <alignment/>
    </xf>
    <xf numFmtId="3" fontId="0" fillId="3" borderId="10" xfId="0" applyNumberFormat="1" applyFill="1" applyBorder="1" applyAlignment="1">
      <alignment/>
    </xf>
    <xf numFmtId="3" fontId="0" fillId="3" borderId="11" xfId="0" applyNumberFormat="1" applyFill="1" applyBorder="1" applyAlignment="1">
      <alignment/>
    </xf>
    <xf numFmtId="3" fontId="0" fillId="4" borderId="10" xfId="0" applyNumberFormat="1" applyFill="1" applyBorder="1" applyAlignment="1">
      <alignment/>
    </xf>
    <xf numFmtId="3" fontId="0" fillId="4" borderId="9" xfId="0" applyNumberFormat="1" applyFill="1" applyBorder="1" applyAlignment="1">
      <alignment/>
    </xf>
    <xf numFmtId="3" fontId="0" fillId="0" borderId="10" xfId="0" applyNumberFormat="1" applyFont="1" applyFill="1" applyBorder="1" applyAlignment="1">
      <alignment/>
    </xf>
    <xf numFmtId="3" fontId="0" fillId="0" borderId="9" xfId="0" applyNumberFormat="1" applyFont="1" applyFill="1" applyBorder="1" applyAlignment="1">
      <alignment/>
    </xf>
    <xf numFmtId="3" fontId="0" fillId="0" borderId="11" xfId="0" applyNumberFormat="1" applyFill="1" applyBorder="1" applyAlignment="1">
      <alignment/>
    </xf>
    <xf numFmtId="3" fontId="0" fillId="4" borderId="0" xfId="0" applyNumberFormat="1" applyFill="1" applyBorder="1" applyAlignment="1">
      <alignment/>
    </xf>
    <xf numFmtId="3" fontId="0" fillId="4" borderId="1" xfId="0" applyNumberFormat="1" applyFont="1" applyFill="1" applyBorder="1" applyAlignment="1">
      <alignment horizontal="center"/>
    </xf>
    <xf numFmtId="3" fontId="0" fillId="4" borderId="2" xfId="0" applyNumberFormat="1" applyFont="1" applyFill="1" applyBorder="1" applyAlignment="1">
      <alignment horizontal="center"/>
    </xf>
    <xf numFmtId="3" fontId="0" fillId="4" borderId="1" xfId="0" applyNumberFormat="1" applyFont="1" applyFill="1" applyBorder="1" applyAlignment="1">
      <alignment/>
    </xf>
    <xf numFmtId="3" fontId="0" fillId="4" borderId="5" xfId="0" applyNumberFormat="1" applyFont="1" applyFill="1" applyBorder="1" applyAlignment="1">
      <alignment/>
    </xf>
    <xf numFmtId="3" fontId="0" fillId="4" borderId="9" xfId="0" applyNumberFormat="1" applyFont="1" applyFill="1" applyBorder="1" applyAlignment="1">
      <alignment/>
    </xf>
    <xf numFmtId="0" fontId="0" fillId="0" borderId="1" xfId="0" applyFont="1" applyBorder="1" applyAlignment="1">
      <alignment horizontal="center"/>
    </xf>
    <xf numFmtId="3" fontId="0" fillId="4" borderId="0" xfId="0" applyNumberFormat="1" applyFont="1" applyFill="1" applyBorder="1" applyAlignment="1">
      <alignment/>
    </xf>
    <xf numFmtId="3" fontId="0" fillId="5" borderId="0" xfId="0" applyNumberFormat="1" applyFont="1" applyFill="1" applyBorder="1" applyAlignment="1">
      <alignment/>
    </xf>
    <xf numFmtId="3" fontId="0" fillId="3" borderId="0" xfId="0" applyNumberFormat="1" applyFont="1" applyFill="1" applyBorder="1" applyAlignment="1">
      <alignment/>
    </xf>
    <xf numFmtId="0" fontId="0" fillId="0" borderId="0" xfId="0" applyFont="1" applyAlignment="1">
      <alignment/>
    </xf>
    <xf numFmtId="3" fontId="0" fillId="0" borderId="12" xfId="0" applyNumberFormat="1" applyBorder="1" applyAlignment="1">
      <alignment/>
    </xf>
    <xf numFmtId="3" fontId="5" fillId="5" borderId="12" xfId="0" applyNumberFormat="1" applyFont="1" applyFill="1" applyBorder="1" applyAlignment="1">
      <alignment/>
    </xf>
    <xf numFmtId="3" fontId="0" fillId="4" borderId="12" xfId="0" applyNumberFormat="1" applyFill="1" applyBorder="1" applyAlignment="1">
      <alignment horizontal="center"/>
    </xf>
    <xf numFmtId="3" fontId="0" fillId="4" borderId="13" xfId="0" applyNumberFormat="1" applyFill="1" applyBorder="1" applyAlignment="1">
      <alignment horizontal="center"/>
    </xf>
    <xf numFmtId="3" fontId="0" fillId="4" borderId="12" xfId="0" applyNumberFormat="1" applyFont="1" applyFill="1" applyBorder="1" applyAlignment="1">
      <alignment/>
    </xf>
    <xf numFmtId="3" fontId="0" fillId="4" borderId="14" xfId="0" applyNumberFormat="1" applyFill="1" applyBorder="1" applyAlignment="1">
      <alignment/>
    </xf>
    <xf numFmtId="3" fontId="4" fillId="4" borderId="12" xfId="0" applyNumberFormat="1" applyFont="1" applyFill="1" applyBorder="1" applyAlignment="1">
      <alignment/>
    </xf>
    <xf numFmtId="3" fontId="4" fillId="4" borderId="15" xfId="0" applyNumberFormat="1" applyFont="1" applyFill="1" applyBorder="1" applyAlignment="1">
      <alignment/>
    </xf>
    <xf numFmtId="3" fontId="4" fillId="4" borderId="13" xfId="0" applyNumberFormat="1" applyFont="1" applyFill="1" applyBorder="1" applyAlignment="1">
      <alignment/>
    </xf>
    <xf numFmtId="3" fontId="5" fillId="0" borderId="12" xfId="0" applyNumberFormat="1" applyFont="1" applyBorder="1" applyAlignment="1">
      <alignment/>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12" xfId="0" applyNumberFormat="1" applyFont="1" applyBorder="1" applyAlignment="1">
      <alignment/>
    </xf>
    <xf numFmtId="3" fontId="0" fillId="0" borderId="14" xfId="0" applyNumberFormat="1" applyFill="1" applyBorder="1" applyAlignment="1">
      <alignment/>
    </xf>
    <xf numFmtId="3" fontId="4" fillId="0" borderId="12" xfId="0" applyNumberFormat="1" applyFont="1" applyFill="1" applyBorder="1" applyAlignment="1">
      <alignment/>
    </xf>
    <xf numFmtId="3" fontId="4" fillId="0" borderId="15" xfId="0" applyNumberFormat="1" applyFont="1" applyFill="1" applyBorder="1" applyAlignment="1">
      <alignment/>
    </xf>
    <xf numFmtId="3" fontId="4" fillId="0" borderId="13" xfId="0" applyNumberFormat="1" applyFont="1" applyFill="1" applyBorder="1" applyAlignment="1">
      <alignment/>
    </xf>
    <xf numFmtId="3" fontId="0" fillId="4" borderId="12" xfId="0" applyNumberFormat="1" applyFont="1" applyFill="1" applyBorder="1" applyAlignment="1">
      <alignment/>
    </xf>
    <xf numFmtId="3" fontId="0" fillId="3" borderId="0" xfId="0" applyNumberFormat="1" applyFont="1" applyFill="1" applyAlignment="1">
      <alignment/>
    </xf>
    <xf numFmtId="3" fontId="0" fillId="0" borderId="4" xfId="0" applyNumberFormat="1" applyFont="1" applyFill="1" applyBorder="1" applyAlignment="1">
      <alignment/>
    </xf>
    <xf numFmtId="3" fontId="0" fillId="3" borderId="4" xfId="0" applyNumberFormat="1" applyFont="1" applyFill="1" applyBorder="1" applyAlignment="1">
      <alignment/>
    </xf>
    <xf numFmtId="3" fontId="0" fillId="0" borderId="0" xfId="0" applyNumberFormat="1" applyFont="1" applyFill="1" applyBorder="1" applyAlignment="1">
      <alignment/>
    </xf>
    <xf numFmtId="3" fontId="0" fillId="3" borderId="0" xfId="0" applyNumberFormat="1" applyFont="1" applyFill="1" applyBorder="1" applyAlignment="1">
      <alignment/>
    </xf>
    <xf numFmtId="3" fontId="0" fillId="5" borderId="0" xfId="0" applyNumberFormat="1" applyFont="1" applyFill="1" applyAlignment="1">
      <alignment/>
    </xf>
    <xf numFmtId="3" fontId="0" fillId="5" borderId="4" xfId="0" applyNumberFormat="1" applyFont="1" applyFill="1" applyBorder="1" applyAlignment="1">
      <alignment/>
    </xf>
    <xf numFmtId="3" fontId="0" fillId="5" borderId="0" xfId="0" applyNumberFormat="1" applyFont="1" applyFill="1" applyBorder="1" applyAlignment="1">
      <alignment/>
    </xf>
    <xf numFmtId="3" fontId="0" fillId="4" borderId="15" xfId="0" applyNumberFormat="1" applyFont="1" applyFill="1" applyBorder="1" applyAlignment="1">
      <alignment/>
    </xf>
    <xf numFmtId="3" fontId="0" fillId="4" borderId="10" xfId="0" applyNumberFormat="1" applyFont="1" applyFill="1" applyBorder="1" applyAlignment="1">
      <alignment/>
    </xf>
    <xf numFmtId="3" fontId="0" fillId="0" borderId="12" xfId="0" applyNumberFormat="1" applyFont="1" applyFill="1" applyBorder="1" applyAlignment="1">
      <alignment/>
    </xf>
    <xf numFmtId="3" fontId="0" fillId="0" borderId="15" xfId="0" applyNumberFormat="1" applyFont="1" applyFill="1" applyBorder="1" applyAlignment="1">
      <alignment/>
    </xf>
    <xf numFmtId="3" fontId="10" fillId="0" borderId="0" xfId="0" applyNumberFormat="1" applyFont="1" applyFill="1" applyAlignment="1">
      <alignment/>
    </xf>
    <xf numFmtId="3" fontId="10" fillId="0" borderId="12" xfId="0" applyNumberFormat="1" applyFont="1" applyFill="1" applyBorder="1" applyAlignment="1">
      <alignment/>
    </xf>
    <xf numFmtId="3" fontId="0" fillId="6" borderId="0" xfId="0" applyNumberFormat="1" applyFont="1" applyFill="1" applyBorder="1" applyAlignment="1">
      <alignment/>
    </xf>
    <xf numFmtId="3" fontId="0" fillId="2" borderId="0" xfId="0" applyNumberFormat="1" applyFont="1" applyFill="1" applyBorder="1" applyAlignment="1">
      <alignment/>
    </xf>
    <xf numFmtId="3" fontId="0" fillId="2" borderId="12" xfId="0" applyNumberFormat="1" applyFont="1" applyFill="1" applyBorder="1" applyAlignment="1">
      <alignment/>
    </xf>
    <xf numFmtId="3" fontId="0" fillId="0" borderId="0" xfId="0" applyNumberFormat="1" applyFill="1" applyAlignment="1">
      <alignment/>
    </xf>
    <xf numFmtId="3" fontId="0" fillId="0" borderId="1" xfId="0" applyNumberFormat="1" applyFill="1" applyBorder="1" applyAlignment="1">
      <alignment/>
    </xf>
    <xf numFmtId="3" fontId="0" fillId="0" borderId="4" xfId="0" applyNumberFormat="1" applyFill="1" applyBorder="1" applyAlignment="1">
      <alignment/>
    </xf>
    <xf numFmtId="3" fontId="0" fillId="0" borderId="5" xfId="0" applyNumberFormat="1" applyFill="1" applyBorder="1" applyAlignment="1">
      <alignment/>
    </xf>
    <xf numFmtId="3" fontId="4" fillId="0" borderId="16" xfId="0" applyNumberFormat="1" applyFont="1" applyFill="1" applyBorder="1" applyAlignment="1">
      <alignment/>
    </xf>
    <xf numFmtId="3" fontId="4" fillId="0" borderId="17" xfId="0" applyNumberFormat="1" applyFont="1" applyFill="1" applyBorder="1" applyAlignment="1">
      <alignment/>
    </xf>
    <xf numFmtId="3" fontId="4" fillId="0" borderId="18" xfId="0" applyNumberFormat="1" applyFont="1" applyFill="1" applyBorder="1" applyAlignment="1">
      <alignment/>
    </xf>
    <xf numFmtId="3" fontId="4" fillId="0" borderId="19" xfId="0" applyNumberFormat="1" applyFont="1" applyFill="1" applyBorder="1" applyAlignment="1">
      <alignment/>
    </xf>
    <xf numFmtId="3" fontId="4" fillId="0" borderId="20" xfId="0" applyNumberFormat="1" applyFont="1" applyFill="1" applyBorder="1" applyAlignment="1">
      <alignment/>
    </xf>
    <xf numFmtId="3" fontId="4" fillId="0" borderId="10" xfId="0" applyNumberFormat="1" applyFont="1" applyFill="1" applyBorder="1" applyAlignment="1">
      <alignment/>
    </xf>
    <xf numFmtId="3" fontId="4" fillId="0" borderId="9" xfId="0" applyNumberFormat="1" applyFont="1" applyFill="1" applyBorder="1" applyAlignment="1">
      <alignment/>
    </xf>
    <xf numFmtId="3" fontId="0" fillId="0" borderId="0" xfId="0" applyNumberFormat="1" applyFill="1" applyBorder="1" applyAlignment="1">
      <alignment/>
    </xf>
    <xf numFmtId="4" fontId="0" fillId="0" borderId="0" xfId="0" applyNumberFormat="1" applyAlignment="1">
      <alignment/>
    </xf>
    <xf numFmtId="4" fontId="4" fillId="0" borderId="20" xfId="0" applyNumberFormat="1" applyFont="1" applyBorder="1" applyAlignment="1">
      <alignment horizontal="center"/>
    </xf>
    <xf numFmtId="4" fontId="4" fillId="0" borderId="21" xfId="0" applyNumberFormat="1" applyFont="1" applyBorder="1" applyAlignment="1">
      <alignment horizontal="center"/>
    </xf>
    <xf numFmtId="4" fontId="4" fillId="0" borderId="0" xfId="0" applyNumberFormat="1" applyFont="1" applyAlignment="1">
      <alignment/>
    </xf>
    <xf numFmtId="4" fontId="0" fillId="0" borderId="1" xfId="0" applyNumberFormat="1" applyBorder="1" applyAlignment="1">
      <alignment/>
    </xf>
    <xf numFmtId="4" fontId="4" fillId="0" borderId="1" xfId="0" applyNumberFormat="1" applyFont="1" applyBorder="1" applyAlignment="1">
      <alignment horizontal="center"/>
    </xf>
    <xf numFmtId="4" fontId="4" fillId="0" borderId="2" xfId="0" applyNumberFormat="1" applyFont="1" applyFill="1" applyBorder="1" applyAlignment="1">
      <alignment horizontal="center"/>
    </xf>
    <xf numFmtId="4" fontId="4" fillId="0" borderId="1" xfId="0" applyNumberFormat="1" applyFont="1" applyBorder="1" applyAlignment="1">
      <alignment/>
    </xf>
    <xf numFmtId="4" fontId="4" fillId="0" borderId="22" xfId="0" applyNumberFormat="1" applyFont="1" applyBorder="1" applyAlignment="1">
      <alignment/>
    </xf>
    <xf numFmtId="4" fontId="4" fillId="0" borderId="10" xfId="0" applyNumberFormat="1" applyFont="1" applyBorder="1" applyAlignment="1">
      <alignment/>
    </xf>
    <xf numFmtId="4" fontId="4" fillId="0" borderId="20" xfId="0" applyNumberFormat="1" applyFont="1" applyBorder="1" applyAlignment="1">
      <alignment/>
    </xf>
    <xf numFmtId="4" fontId="4" fillId="0" borderId="0" xfId="0" applyNumberFormat="1" applyFont="1" applyBorder="1" applyAlignment="1">
      <alignment/>
    </xf>
    <xf numFmtId="4" fontId="4" fillId="0" borderId="21" xfId="0" applyNumberFormat="1" applyFont="1" applyBorder="1" applyAlignment="1">
      <alignment/>
    </xf>
    <xf numFmtId="4" fontId="4" fillId="0" borderId="3" xfId="0" applyNumberFormat="1" applyFont="1" applyBorder="1" applyAlignment="1">
      <alignment/>
    </xf>
    <xf numFmtId="4" fontId="4" fillId="0" borderId="2" xfId="0" applyNumberFormat="1" applyFont="1" applyBorder="1" applyAlignment="1">
      <alignment/>
    </xf>
    <xf numFmtId="2" fontId="4" fillId="0" borderId="0" xfId="0" applyNumberFormat="1" applyFont="1" applyFill="1" applyBorder="1" applyAlignment="1">
      <alignment/>
    </xf>
    <xf numFmtId="3" fontId="4" fillId="0" borderId="0" xfId="0" applyNumberFormat="1" applyFont="1" applyBorder="1" applyAlignment="1">
      <alignment/>
    </xf>
    <xf numFmtId="3" fontId="4" fillId="0" borderId="23" xfId="0" applyNumberFormat="1" applyFont="1" applyBorder="1" applyAlignment="1">
      <alignment horizontal="center"/>
    </xf>
    <xf numFmtId="3" fontId="4" fillId="0" borderId="24" xfId="0" applyNumberFormat="1" applyFont="1" applyBorder="1" applyAlignment="1">
      <alignment horizontal="center"/>
    </xf>
    <xf numFmtId="4" fontId="4" fillId="0" borderId="25"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3" fontId="4" fillId="0" borderId="26" xfId="0" applyNumberFormat="1" applyFont="1" applyBorder="1" applyAlignment="1">
      <alignment horizontal="center"/>
    </xf>
    <xf numFmtId="4" fontId="4" fillId="0" borderId="27" xfId="0" applyNumberFormat="1" applyFont="1" applyBorder="1" applyAlignment="1">
      <alignment/>
    </xf>
    <xf numFmtId="4" fontId="4" fillId="0" borderId="28" xfId="0" applyNumberFormat="1" applyFont="1" applyBorder="1" applyAlignment="1">
      <alignment/>
    </xf>
    <xf numFmtId="4" fontId="4" fillId="0" borderId="26" xfId="0" applyNumberFormat="1" applyFont="1" applyBorder="1" applyAlignment="1">
      <alignment/>
    </xf>
    <xf numFmtId="0" fontId="0" fillId="2" borderId="0" xfId="0" applyFill="1" applyAlignment="1">
      <alignment/>
    </xf>
    <xf numFmtId="3" fontId="6" fillId="0" borderId="0" xfId="0" applyNumberFormat="1" applyFont="1" applyAlignment="1">
      <alignment/>
    </xf>
    <xf numFmtId="3" fontId="6" fillId="4" borderId="0" xfId="0" applyNumberFormat="1" applyFont="1" applyFill="1" applyAlignment="1">
      <alignment/>
    </xf>
    <xf numFmtId="3" fontId="10" fillId="0" borderId="1" xfId="0" applyNumberFormat="1" applyFont="1" applyFill="1" applyBorder="1" applyAlignment="1">
      <alignment/>
    </xf>
    <xf numFmtId="3" fontId="0" fillId="5" borderId="1" xfId="0" applyNumberFormat="1" applyFont="1" applyFill="1" applyBorder="1" applyAlignment="1">
      <alignment/>
    </xf>
    <xf numFmtId="3" fontId="0" fillId="5" borderId="5" xfId="0" applyNumberFormat="1" applyFont="1" applyFill="1" applyBorder="1" applyAlignment="1">
      <alignment/>
    </xf>
    <xf numFmtId="3" fontId="0" fillId="3" borderId="6" xfId="0" applyNumberFormat="1" applyFont="1" applyFill="1" applyBorder="1" applyAlignment="1">
      <alignment/>
    </xf>
    <xf numFmtId="3" fontId="0" fillId="3" borderId="8" xfId="0" applyNumberFormat="1" applyFont="1" applyFill="1" applyBorder="1" applyAlignment="1">
      <alignment/>
    </xf>
    <xf numFmtId="3" fontId="0" fillId="0" borderId="6" xfId="0" applyNumberFormat="1" applyFont="1" applyFill="1" applyBorder="1" applyAlignment="1">
      <alignment/>
    </xf>
    <xf numFmtId="3" fontId="0" fillId="0" borderId="8" xfId="0" applyNumberFormat="1" applyFont="1" applyFill="1" applyBorder="1" applyAlignment="1">
      <alignment/>
    </xf>
    <xf numFmtId="3" fontId="0" fillId="0" borderId="0" xfId="0" applyNumberFormat="1" applyFont="1" applyFill="1" applyBorder="1" applyAlignment="1">
      <alignment/>
    </xf>
    <xf numFmtId="3" fontId="10" fillId="4" borderId="0" xfId="0" applyNumberFormat="1" applyFont="1" applyFill="1" applyBorder="1" applyAlignment="1">
      <alignment/>
    </xf>
    <xf numFmtId="3" fontId="10" fillId="0" borderId="6" xfId="0" applyNumberFormat="1" applyFont="1" applyFill="1" applyBorder="1" applyAlignment="1">
      <alignment/>
    </xf>
    <xf numFmtId="3" fontId="0" fillId="0" borderId="1" xfId="0" applyNumberFormat="1" applyFill="1" applyBorder="1" applyAlignment="1">
      <alignment/>
    </xf>
    <xf numFmtId="3" fontId="0" fillId="0" borderId="2" xfId="0" applyNumberFormat="1" applyFill="1" applyBorder="1" applyAlignment="1">
      <alignment/>
    </xf>
    <xf numFmtId="3" fontId="0" fillId="0" borderId="16" xfId="0" applyNumberFormat="1" applyFill="1" applyBorder="1" applyAlignment="1">
      <alignment/>
    </xf>
    <xf numFmtId="3" fontId="0" fillId="0" borderId="4" xfId="0" applyNumberFormat="1" applyFill="1" applyBorder="1" applyAlignment="1">
      <alignment/>
    </xf>
    <xf numFmtId="3" fontId="0" fillId="0" borderId="5" xfId="0" applyNumberFormat="1" applyFill="1" applyBorder="1" applyAlignment="1">
      <alignment/>
    </xf>
    <xf numFmtId="3" fontId="10" fillId="3" borderId="0" xfId="0" applyNumberFormat="1" applyFont="1" applyFill="1" applyAlignment="1">
      <alignment/>
    </xf>
    <xf numFmtId="3" fontId="13" fillId="4" borderId="0" xfId="0" applyNumberFormat="1" applyFont="1" applyFill="1" applyBorder="1" applyAlignment="1">
      <alignment/>
    </xf>
    <xf numFmtId="3" fontId="13" fillId="0" borderId="0" xfId="0" applyNumberFormat="1" applyFont="1" applyFill="1" applyBorder="1" applyAlignment="1">
      <alignment/>
    </xf>
    <xf numFmtId="0" fontId="0" fillId="7" borderId="0" xfId="0" applyFill="1" applyAlignment="1">
      <alignment/>
    </xf>
    <xf numFmtId="3" fontId="0" fillId="7" borderId="0" xfId="0" applyNumberFormat="1" applyFont="1" applyFill="1" applyBorder="1" applyAlignment="1">
      <alignment/>
    </xf>
    <xf numFmtId="3" fontId="0" fillId="7" borderId="1" xfId="0" applyNumberFormat="1" applyFont="1" applyFill="1" applyBorder="1" applyAlignment="1">
      <alignment/>
    </xf>
    <xf numFmtId="3" fontId="0" fillId="8" borderId="0" xfId="0" applyNumberFormat="1" applyFont="1" applyFill="1" applyBorder="1" applyAlignment="1">
      <alignment/>
    </xf>
    <xf numFmtId="3" fontId="0" fillId="8" borderId="1" xfId="0" applyNumberFormat="1" applyFont="1" applyFill="1" applyBorder="1" applyAlignment="1">
      <alignment/>
    </xf>
    <xf numFmtId="3" fontId="0" fillId="7" borderId="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0725"/>
          <c:w val="0.9335"/>
          <c:h val="0.93975"/>
        </c:manualLayout>
      </c:layout>
      <c:barChart>
        <c:barDir val="col"/>
        <c:grouping val="clustered"/>
        <c:varyColors val="0"/>
        <c:ser>
          <c:idx val="0"/>
          <c:order val="0"/>
          <c:tx>
            <c:strRef>
              <c:f>'Rel. by MA&amp;ESU'!$S$4:$S$5</c:f>
              <c:strCache>
                <c:ptCount val="1"/>
                <c:pt idx="0">
                  <c:v>Unfed Fry</c:v>
                </c:pt>
              </c:strCache>
            </c:strRef>
          </c:tx>
          <c:spPr>
            <a:pattFill prst="pct5">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'Rel. by MA&amp;ESU'!$A$16:$A$29</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'Rel. by MA&amp;ESU'!$S$16:$S$29</c:f>
              <c:numCache>
                <c:ptCount val="14"/>
                <c:pt idx="0">
                  <c:v>2.790282</c:v>
                </c:pt>
                <c:pt idx="1">
                  <c:v>1.516853</c:v>
                </c:pt>
                <c:pt idx="2">
                  <c:v>1.728062</c:v>
                </c:pt>
                <c:pt idx="3">
                  <c:v>1.441675</c:v>
                </c:pt>
                <c:pt idx="4">
                  <c:v>1.24357</c:v>
                </c:pt>
                <c:pt idx="5">
                  <c:v>1.009629</c:v>
                </c:pt>
                <c:pt idx="6">
                  <c:v>0.928626</c:v>
                </c:pt>
                <c:pt idx="7">
                  <c:v>0.668817</c:v>
                </c:pt>
                <c:pt idx="8">
                  <c:v>0.130328</c:v>
                </c:pt>
                <c:pt idx="9">
                  <c:v>0.693111</c:v>
                </c:pt>
                <c:pt idx="10">
                  <c:v>0.85197</c:v>
                </c:pt>
                <c:pt idx="11">
                  <c:v>0.780302</c:v>
                </c:pt>
                <c:pt idx="12">
                  <c:v>0.494948</c:v>
                </c:pt>
                <c:pt idx="13">
                  <c:v>0.625266</c:v>
                </c:pt>
              </c:numCache>
            </c:numRef>
          </c:val>
        </c:ser>
        <c:ser>
          <c:idx val="1"/>
          <c:order val="1"/>
          <c:tx>
            <c:strRef>
              <c:f>'Rel. by MA&amp;ESU'!$T$5</c:f>
              <c:strCache>
                <c:ptCount val="1"/>
                <c:pt idx="0">
                  <c:v>Fry/Fing</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'Rel. by MA&amp;ESU'!$A$16:$A$29</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'Rel. by MA&amp;ESU'!$T$16:$T$29</c:f>
              <c:numCache>
                <c:ptCount val="14"/>
                <c:pt idx="0">
                  <c:v>1.309905</c:v>
                </c:pt>
                <c:pt idx="1">
                  <c:v>0.963862</c:v>
                </c:pt>
                <c:pt idx="2">
                  <c:v>0.730555</c:v>
                </c:pt>
                <c:pt idx="3">
                  <c:v>0.45937</c:v>
                </c:pt>
                <c:pt idx="4">
                  <c:v>0.316079</c:v>
                </c:pt>
                <c:pt idx="5">
                  <c:v>0.06352</c:v>
                </c:pt>
                <c:pt idx="6">
                  <c:v>0.046108</c:v>
                </c:pt>
                <c:pt idx="7">
                  <c:v>0.1832</c:v>
                </c:pt>
                <c:pt idx="8">
                  <c:v>0.090911</c:v>
                </c:pt>
                <c:pt idx="9">
                  <c:v>0.02094</c:v>
                </c:pt>
                <c:pt idx="10">
                  <c:v>0.11655</c:v>
                </c:pt>
                <c:pt idx="11">
                  <c:v>0.03396</c:v>
                </c:pt>
                <c:pt idx="12">
                  <c:v>0.138811</c:v>
                </c:pt>
                <c:pt idx="13">
                  <c:v>0.017467</c:v>
                </c:pt>
              </c:numCache>
            </c:numRef>
          </c:val>
        </c:ser>
        <c:ser>
          <c:idx val="2"/>
          <c:order val="2"/>
          <c:tx>
            <c:strRef>
              <c:f>'Rel. by MA&amp;ESU'!$U$5</c:f>
              <c:strCache>
                <c:ptCount val="1"/>
                <c:pt idx="0">
                  <c:v>Smolt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'Rel. by MA&amp;ESU'!$A$16:$A$29</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'Rel. by MA&amp;ESU'!$U$16:$U$29</c:f>
              <c:numCache>
                <c:ptCount val="14"/>
                <c:pt idx="0">
                  <c:v>5.1609549999999995</c:v>
                </c:pt>
                <c:pt idx="1">
                  <c:v>5.139342</c:v>
                </c:pt>
                <c:pt idx="2">
                  <c:v>5.446553</c:v>
                </c:pt>
                <c:pt idx="3">
                  <c:v>4.571926</c:v>
                </c:pt>
                <c:pt idx="4">
                  <c:v>4.960738</c:v>
                </c:pt>
                <c:pt idx="5">
                  <c:v>3.581868</c:v>
                </c:pt>
                <c:pt idx="6">
                  <c:v>3.156708</c:v>
                </c:pt>
                <c:pt idx="7">
                  <c:v>2.807624</c:v>
                </c:pt>
                <c:pt idx="8">
                  <c:v>1.450976</c:v>
                </c:pt>
                <c:pt idx="9">
                  <c:v>0.95692</c:v>
                </c:pt>
                <c:pt idx="10">
                  <c:v>0.818065</c:v>
                </c:pt>
                <c:pt idx="11">
                  <c:v>0.935569</c:v>
                </c:pt>
                <c:pt idx="12">
                  <c:v>0.948274</c:v>
                </c:pt>
                <c:pt idx="13">
                  <c:v>0.749288</c:v>
                </c:pt>
              </c:numCache>
            </c:numRef>
          </c:val>
        </c:ser>
        <c:axId val="43466090"/>
        <c:axId val="55650491"/>
      </c:barChart>
      <c:lineChart>
        <c:grouping val="standard"/>
        <c:varyColors val="0"/>
        <c:ser>
          <c:idx val="3"/>
          <c:order val="3"/>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'Rel. by MA&amp;ESU'!$W$16:$W$29</c:f>
              <c:numCache>
                <c:ptCount val="14"/>
                <c:pt idx="8">
                  <c:v>2.3</c:v>
                </c:pt>
                <c:pt idx="9">
                  <c:v>2.3</c:v>
                </c:pt>
                <c:pt idx="10">
                  <c:v>2.3</c:v>
                </c:pt>
                <c:pt idx="11">
                  <c:v>2.3</c:v>
                </c:pt>
                <c:pt idx="12">
                  <c:v>2.3</c:v>
                </c:pt>
                <c:pt idx="13">
                  <c:v>2.3</c:v>
                </c:pt>
              </c:numCache>
            </c:numRef>
          </c:val>
          <c:smooth val="0"/>
        </c:ser>
        <c:axId val="31092372"/>
        <c:axId val="11395893"/>
      </c:lineChart>
      <c:catAx>
        <c:axId val="43466090"/>
        <c:scaling>
          <c:orientation val="minMax"/>
        </c:scaling>
        <c:axPos val="b"/>
        <c:title>
          <c:tx>
            <c:rich>
              <a:bodyPr vert="horz" rot="0" anchor="ctr"/>
              <a:lstStyle/>
              <a:p>
                <a:pPr algn="ctr">
                  <a:defRPr/>
                </a:pPr>
                <a:r>
                  <a:rPr lang="en-US" cap="none" sz="1200" b="1" i="0" u="none" baseline="0">
                    <a:latin typeface="Times New Roman"/>
                    <a:ea typeface="Times New Roman"/>
                    <a:cs typeface="Times New Roman"/>
                  </a:rPr>
                  <a:t>Release Year</a:t>
                </a:r>
              </a:p>
            </c:rich>
          </c:tx>
          <c:layout/>
          <c:overlay val="0"/>
          <c:spPr>
            <a:noFill/>
            <a:ln>
              <a:noFill/>
            </a:ln>
          </c:spPr>
        </c:title>
        <c:delete val="0"/>
        <c:numFmt formatCode="General" sourceLinked="1"/>
        <c:majorTickMark val="out"/>
        <c:minorTickMark val="none"/>
        <c:tickLblPos val="nextTo"/>
        <c:crossAx val="55650491"/>
        <c:crosses val="autoZero"/>
        <c:auto val="1"/>
        <c:lblOffset val="100"/>
        <c:noMultiLvlLbl val="0"/>
      </c:catAx>
      <c:valAx>
        <c:axId val="55650491"/>
        <c:scaling>
          <c:orientation val="minMax"/>
        </c:scaling>
        <c:axPos val="l"/>
        <c:title>
          <c:tx>
            <c:rich>
              <a:bodyPr vert="horz" rot="-5400000" anchor="ctr"/>
              <a:lstStyle/>
              <a:p>
                <a:pPr algn="ctr">
                  <a:defRPr/>
                </a:pPr>
                <a:r>
                  <a:rPr lang="en-US" cap="none" sz="1200" b="1" i="0" u="none" baseline="0">
                    <a:latin typeface="Times New Roman"/>
                    <a:ea typeface="Times New Roman"/>
                    <a:cs typeface="Times New Roman"/>
                  </a:rPr>
                  <a:t>Number of Fish (in Millions)</a:t>
                </a:r>
              </a:p>
            </c:rich>
          </c:tx>
          <c:layout/>
          <c:overlay val="0"/>
          <c:spPr>
            <a:noFill/>
            <a:ln>
              <a:noFill/>
            </a:ln>
          </c:spPr>
        </c:title>
        <c:majorGridlines/>
        <c:delete val="0"/>
        <c:numFmt formatCode="0.0" sourceLinked="0"/>
        <c:majorTickMark val="out"/>
        <c:minorTickMark val="out"/>
        <c:tickLblPos val="nextTo"/>
        <c:crossAx val="43466090"/>
        <c:crossesAt val="1"/>
        <c:crossBetween val="between"/>
        <c:dispUnits/>
        <c:minorUnit val="0.2"/>
      </c:valAx>
      <c:catAx>
        <c:axId val="31092372"/>
        <c:scaling>
          <c:orientation val="minMax"/>
        </c:scaling>
        <c:axPos val="b"/>
        <c:delete val="1"/>
        <c:majorTickMark val="out"/>
        <c:minorTickMark val="none"/>
        <c:tickLblPos val="nextTo"/>
        <c:crossAx val="11395893"/>
        <c:crosses val="autoZero"/>
        <c:auto val="1"/>
        <c:lblOffset val="100"/>
        <c:noMultiLvlLbl val="0"/>
      </c:catAx>
      <c:valAx>
        <c:axId val="11395893"/>
        <c:scaling>
          <c:orientation val="minMax"/>
          <c:max val="6"/>
        </c:scaling>
        <c:axPos val="l"/>
        <c:delete val="0"/>
        <c:numFmt formatCode="0.0" sourceLinked="0"/>
        <c:majorTickMark val="out"/>
        <c:minorTickMark val="out"/>
        <c:tickLblPos val="nextTo"/>
        <c:crossAx val="31092372"/>
        <c:crosses val="max"/>
        <c:crossBetween val="between"/>
        <c:dispUnits/>
        <c:majorUnit val="1"/>
        <c:minorUnit val="0.2"/>
      </c:valAx>
      <c:spPr>
        <a:noFill/>
      </c:spPr>
    </c:plotArea>
    <c:legend>
      <c:legendPos val="r"/>
      <c:legendEntry>
        <c:idx val="3"/>
        <c:delete val="1"/>
      </c:legendEntry>
      <c:layout>
        <c:manualLayout>
          <c:xMode val="edge"/>
          <c:yMode val="edge"/>
          <c:x val="0.8085"/>
          <c:y val="0.1955"/>
          <c:w val="0.11"/>
          <c:h val="0.0985"/>
        </c:manualLayout>
      </c:layout>
      <c:overlay val="0"/>
      <c:txPr>
        <a:bodyPr vert="horz" rot="0"/>
        <a:lstStyle/>
        <a:p>
          <a:pPr>
            <a:defRPr lang="en-US" cap="none" sz="1000" b="1" i="0" u="none" baseline="0">
              <a:latin typeface="Times New Roman"/>
              <a:ea typeface="Times New Roman"/>
              <a:cs typeface="Times New Roman"/>
            </a:defRPr>
          </a:pPr>
        </a:p>
      </c:txPr>
    </c:legend>
    <c:plotVisOnly val="1"/>
    <c:dispBlanksAs val="gap"/>
    <c:showDLblsOverMax val="0"/>
  </c:chart>
  <c:spPr>
    <a:noFill/>
    <a:ln>
      <a:noFill/>
    </a:ln>
  </c:spPr>
  <c:txPr>
    <a:bodyPr vert="horz" rot="0"/>
    <a:lstStyle/>
    <a:p>
      <a:pPr>
        <a:defRPr lang="en-US" cap="none" sz="1000" b="0" i="0" u="none" baseline="0">
          <a:latin typeface="Times New Roman"/>
          <a:ea typeface="Times New Roman"/>
          <a:cs typeface="Times New Roman"/>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03"/>
          <c:w val="0.9465"/>
          <c:h val="0.9695"/>
        </c:manualLayout>
      </c:layout>
      <c:barChart>
        <c:barDir val="col"/>
        <c:grouping val="stacked"/>
        <c:varyColors val="0"/>
        <c:ser>
          <c:idx val="0"/>
          <c:order val="0"/>
          <c:tx>
            <c:v>ODFW Hatcheries</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'Rel. by MA&amp;ESU'!$A$6:$A$29</c:f>
              <c:numCache>
                <c:ptCount val="2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numCache>
            </c:numRef>
          </c:cat>
          <c:val>
            <c:numRef>
              <c:f>'Rel. by MA&amp;ESU'!$V$6:$V$29</c:f>
              <c:numCache>
                <c:ptCount val="24"/>
                <c:pt idx="0">
                  <c:v>8.852427999999998</c:v>
                </c:pt>
                <c:pt idx="1">
                  <c:v>10.598917999999998</c:v>
                </c:pt>
                <c:pt idx="2">
                  <c:v>7.522656999999999</c:v>
                </c:pt>
                <c:pt idx="3">
                  <c:v>4.850284</c:v>
                </c:pt>
                <c:pt idx="4">
                  <c:v>5.853562</c:v>
                </c:pt>
                <c:pt idx="5">
                  <c:v>10.514505</c:v>
                </c:pt>
                <c:pt idx="6">
                  <c:v>8.684542</c:v>
                </c:pt>
                <c:pt idx="7">
                  <c:v>10.283585</c:v>
                </c:pt>
                <c:pt idx="8">
                  <c:v>6.4917750000000005</c:v>
                </c:pt>
                <c:pt idx="9">
                  <c:v>9.031277000000001</c:v>
                </c:pt>
                <c:pt idx="10">
                  <c:v>9.261142</c:v>
                </c:pt>
                <c:pt idx="11">
                  <c:v>7.620057</c:v>
                </c:pt>
                <c:pt idx="12">
                  <c:v>7.90517</c:v>
                </c:pt>
                <c:pt idx="13">
                  <c:v>6.472971</c:v>
                </c:pt>
                <c:pt idx="14">
                  <c:v>6.520387</c:v>
                </c:pt>
                <c:pt idx="15">
                  <c:v>4.655017</c:v>
                </c:pt>
                <c:pt idx="16">
                  <c:v>4.131442</c:v>
                </c:pt>
                <c:pt idx="17">
                  <c:v>3.659641</c:v>
                </c:pt>
                <c:pt idx="18">
                  <c:v>1.672215</c:v>
                </c:pt>
                <c:pt idx="19">
                  <c:v>1.670971</c:v>
                </c:pt>
                <c:pt idx="20">
                  <c:v>1.786585</c:v>
                </c:pt>
                <c:pt idx="21">
                  <c:v>1.749831</c:v>
                </c:pt>
                <c:pt idx="22">
                  <c:v>1.582033</c:v>
                </c:pt>
                <c:pt idx="23">
                  <c:v>1.392021</c:v>
                </c:pt>
              </c:numCache>
            </c:numRef>
          </c:val>
        </c:ser>
        <c:ser>
          <c:idx val="1"/>
          <c:order val="1"/>
          <c:tx>
            <c:v>Private Hatcheries</c:v>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'Rel. by MA&amp;ESU'!$A$6:$A$29</c:f>
              <c:numCache>
                <c:ptCount val="2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numCache>
            </c:numRef>
          </c:cat>
          <c:val>
            <c:numRef>
              <c:f>'Rel. by MA&amp;ESU'!$R$6:$R$29</c:f>
              <c:numCache>
                <c:ptCount val="24"/>
                <c:pt idx="0">
                  <c:v>14.817346</c:v>
                </c:pt>
                <c:pt idx="1">
                  <c:v>23.852408</c:v>
                </c:pt>
                <c:pt idx="2">
                  <c:v>23.107316</c:v>
                </c:pt>
                <c:pt idx="3">
                  <c:v>16.158285</c:v>
                </c:pt>
                <c:pt idx="4">
                  <c:v>10.919396</c:v>
                </c:pt>
                <c:pt idx="5">
                  <c:v>8.586612</c:v>
                </c:pt>
                <c:pt idx="6">
                  <c:v>8.655382</c:v>
                </c:pt>
                <c:pt idx="7">
                  <c:v>4.569979</c:v>
                </c:pt>
                <c:pt idx="8">
                  <c:v>4.839174</c:v>
                </c:pt>
                <c:pt idx="9">
                  <c:v>9.950868</c:v>
                </c:pt>
                <c:pt idx="10">
                  <c:v>2.833986</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overlap val="100"/>
        <c:axId val="35454174"/>
        <c:axId val="50652111"/>
      </c:barChart>
      <c:lineChart>
        <c:grouping val="standard"/>
        <c:varyColors val="0"/>
        <c:ser>
          <c:idx val="2"/>
          <c:order val="2"/>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'Rel. by MA&amp;ESU'!$W$6:$W$29</c:f>
              <c:numCache>
                <c:ptCount val="24"/>
                <c:pt idx="18">
                  <c:v>2.3</c:v>
                </c:pt>
                <c:pt idx="19">
                  <c:v>2.3</c:v>
                </c:pt>
                <c:pt idx="20">
                  <c:v>2.3</c:v>
                </c:pt>
                <c:pt idx="21">
                  <c:v>2.3</c:v>
                </c:pt>
                <c:pt idx="22">
                  <c:v>2.3</c:v>
                </c:pt>
                <c:pt idx="23">
                  <c:v>2.3</c:v>
                </c:pt>
              </c:numCache>
            </c:numRef>
          </c:val>
          <c:smooth val="0"/>
        </c:ser>
        <c:axId val="53215816"/>
        <c:axId val="9180297"/>
      </c:lineChart>
      <c:catAx>
        <c:axId val="35454174"/>
        <c:scaling>
          <c:orientation val="minMax"/>
        </c:scaling>
        <c:axPos val="b"/>
        <c:title>
          <c:tx>
            <c:rich>
              <a:bodyPr vert="horz" rot="0" anchor="ctr"/>
              <a:lstStyle/>
              <a:p>
                <a:pPr algn="ctr">
                  <a:defRPr/>
                </a:pPr>
                <a:r>
                  <a:rPr lang="en-US" cap="none" sz="1025" b="1" i="0" u="none" baseline="0">
                    <a:latin typeface="Times New Roman"/>
                    <a:ea typeface="Times New Roman"/>
                    <a:cs typeface="Times New Roman"/>
                  </a:rPr>
                  <a:t>Release Year</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Times New Roman"/>
                <a:ea typeface="Times New Roman"/>
                <a:cs typeface="Times New Roman"/>
              </a:defRPr>
            </a:pPr>
          </a:p>
        </c:txPr>
        <c:crossAx val="50652111"/>
        <c:crosses val="autoZero"/>
        <c:auto val="1"/>
        <c:lblOffset val="100"/>
        <c:noMultiLvlLbl val="0"/>
      </c:catAx>
      <c:valAx>
        <c:axId val="50652111"/>
        <c:scaling>
          <c:orientation val="minMax"/>
          <c:max val="35"/>
        </c:scaling>
        <c:axPos val="l"/>
        <c:title>
          <c:tx>
            <c:rich>
              <a:bodyPr vert="horz" rot="-5400000" anchor="ctr"/>
              <a:lstStyle/>
              <a:p>
                <a:pPr algn="ctr">
                  <a:defRPr/>
                </a:pPr>
                <a:r>
                  <a:rPr lang="en-US" cap="none" sz="1025" b="1" i="0" u="none" baseline="0">
                    <a:latin typeface="Times New Roman"/>
                    <a:ea typeface="Times New Roman"/>
                    <a:cs typeface="Times New Roman"/>
                  </a:rPr>
                  <a:t>Juvenile Coho (in millions)</a:t>
                </a:r>
              </a:p>
            </c:rich>
          </c:tx>
          <c:layout/>
          <c:overlay val="0"/>
          <c:spPr>
            <a:noFill/>
            <a:ln>
              <a:noFill/>
            </a:ln>
          </c:spPr>
        </c:title>
        <c:majorGridlines/>
        <c:delete val="0"/>
        <c:numFmt formatCode="0" sourceLinked="0"/>
        <c:majorTickMark val="out"/>
        <c:minorTickMark val="out"/>
        <c:tickLblPos val="nextTo"/>
        <c:txPr>
          <a:bodyPr/>
          <a:lstStyle/>
          <a:p>
            <a:pPr>
              <a:defRPr lang="en-US" cap="none" sz="850" b="0" i="0" u="none" baseline="0">
                <a:latin typeface="Times New Roman"/>
                <a:ea typeface="Times New Roman"/>
                <a:cs typeface="Times New Roman"/>
              </a:defRPr>
            </a:pPr>
          </a:p>
        </c:txPr>
        <c:crossAx val="35454174"/>
        <c:crossesAt val="1"/>
        <c:crossBetween val="between"/>
        <c:dispUnits/>
      </c:valAx>
      <c:catAx>
        <c:axId val="53215816"/>
        <c:scaling>
          <c:orientation val="minMax"/>
        </c:scaling>
        <c:axPos val="b"/>
        <c:delete val="1"/>
        <c:majorTickMark val="out"/>
        <c:minorTickMark val="none"/>
        <c:tickLblPos val="nextTo"/>
        <c:crossAx val="9180297"/>
        <c:crosses val="autoZero"/>
        <c:auto val="1"/>
        <c:lblOffset val="100"/>
        <c:noMultiLvlLbl val="0"/>
      </c:catAx>
      <c:valAx>
        <c:axId val="9180297"/>
        <c:scaling>
          <c:orientation val="minMax"/>
          <c:max val="35"/>
        </c:scaling>
        <c:axPos val="l"/>
        <c:delete val="0"/>
        <c:numFmt formatCode="0" sourceLinked="0"/>
        <c:majorTickMark val="out"/>
        <c:minorTickMark val="out"/>
        <c:tickLblPos val="nextTo"/>
        <c:txPr>
          <a:bodyPr/>
          <a:lstStyle/>
          <a:p>
            <a:pPr>
              <a:defRPr lang="en-US" cap="none" sz="850" b="0" i="0" u="none" baseline="0">
                <a:latin typeface="Times New Roman"/>
                <a:ea typeface="Times New Roman"/>
                <a:cs typeface="Times New Roman"/>
              </a:defRPr>
            </a:pPr>
          </a:p>
        </c:txPr>
        <c:crossAx val="53215816"/>
        <c:crosses val="max"/>
        <c:crossBetween val="between"/>
        <c:dispUnits/>
        <c:majorUnit val="5"/>
      </c:valAx>
      <c:spPr>
        <a:noFill/>
      </c:spPr>
    </c:plotArea>
    <c:legend>
      <c:legendPos val="r"/>
      <c:legendEntry>
        <c:idx val="2"/>
        <c:delete val="1"/>
      </c:legendEntry>
      <c:layout>
        <c:manualLayout>
          <c:xMode val="edge"/>
          <c:yMode val="edge"/>
          <c:x val="0.779"/>
          <c:y val="0.177"/>
          <c:w val="0.153"/>
          <c:h val="0.08"/>
        </c:manualLayout>
      </c:layout>
      <c:overlay val="0"/>
      <c:txPr>
        <a:bodyPr vert="horz" rot="0"/>
        <a:lstStyle/>
        <a:p>
          <a:pPr>
            <a:defRPr lang="en-US" cap="none" sz="1000" b="1" i="0" u="none" baseline="0">
              <a:latin typeface="Times New Roman"/>
              <a:ea typeface="Times New Roman"/>
              <a:cs typeface="Times New Roman"/>
            </a:defRPr>
          </a:pPr>
        </a:p>
      </c:txPr>
    </c:legend>
    <c:plotVisOnly val="1"/>
    <c:dispBlanksAs val="gap"/>
    <c:showDLblsOverMax val="0"/>
  </c:chart>
  <c:spPr>
    <a:noFill/>
    <a:ln>
      <a:noFill/>
    </a:ln>
  </c:spPr>
  <c:txPr>
    <a:bodyPr vert="horz" rot="0"/>
    <a:lstStyle/>
    <a:p>
      <a:pPr>
        <a:defRPr lang="en-US" cap="none" sz="1000" b="0" i="0" u="none" baseline="0">
          <a:latin typeface="Times New Roman"/>
          <a:ea typeface="Times New Roman"/>
          <a:cs typeface="Times New Roman"/>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0.565</cdr:x>
      <cdr:y>0.02625</cdr:y>
    </cdr:from>
    <cdr:to>
      <cdr:x>0.565</cdr:x>
      <cdr:y>0.9015</cdr:y>
    </cdr:to>
    <cdr:sp>
      <cdr:nvSpPr>
        <cdr:cNvPr id="1" name="Line 1"/>
        <cdr:cNvSpPr>
          <a:spLocks/>
        </cdr:cNvSpPr>
      </cdr:nvSpPr>
      <cdr:spPr>
        <a:xfrm flipH="1" flipV="1">
          <a:off x="4895850" y="152400"/>
          <a:ext cx="0" cy="5191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0.65975</cdr:x>
      <cdr:y>0.04025</cdr:y>
    </cdr:from>
    <cdr:to>
      <cdr:x>0.845</cdr:x>
      <cdr:y>0.081</cdr:y>
    </cdr:to>
    <cdr:sp>
      <cdr:nvSpPr>
        <cdr:cNvPr id="2" name="TextBox 2"/>
        <cdr:cNvSpPr txBox="1">
          <a:spLocks noChangeArrowheads="1"/>
        </cdr:cNvSpPr>
      </cdr:nvSpPr>
      <cdr:spPr>
        <a:xfrm>
          <a:off x="5724525" y="238125"/>
          <a:ext cx="1609725" cy="238125"/>
        </a:xfrm>
        <a:prstGeom prst="rect">
          <a:avLst/>
        </a:prstGeom>
        <a:noFill/>
        <a:ln w="9525" cmpd="sng">
          <a:noFill/>
        </a:ln>
      </cdr:spPr>
      <cdr:txBody>
        <a:bodyPr vertOverflow="clip" wrap="square">
          <a:spAutoFit/>
        </a:bodyPr>
        <a:p>
          <a:pPr algn="l">
            <a:defRPr/>
          </a:pPr>
          <a:r>
            <a:rPr lang="en-US" cap="none" sz="1200" b="1" i="0" u="none" baseline="0">
              <a:latin typeface="Times New Roman"/>
              <a:ea typeface="Times New Roman"/>
              <a:cs typeface="Times New Roman"/>
            </a:rPr>
            <a:t>Releases Under OPSW</a:t>
          </a:r>
        </a:p>
      </cdr:txBody>
    </cdr:sp>
  </cdr:relSizeAnchor>
  <cdr:relSizeAnchor xmlns:cdr="http://schemas.openxmlformats.org/drawingml/2006/chartDrawing">
    <cdr:from>
      <cdr:x>0.2185</cdr:x>
      <cdr:y>0.04025</cdr:y>
    </cdr:from>
    <cdr:to>
      <cdr:x>0.4195</cdr:x>
      <cdr:y>0.081</cdr:y>
    </cdr:to>
    <cdr:sp>
      <cdr:nvSpPr>
        <cdr:cNvPr id="3" name="TextBox 3"/>
        <cdr:cNvSpPr txBox="1">
          <a:spLocks noChangeArrowheads="1"/>
        </cdr:cNvSpPr>
      </cdr:nvSpPr>
      <cdr:spPr>
        <a:xfrm>
          <a:off x="1895475" y="238125"/>
          <a:ext cx="1743075" cy="238125"/>
        </a:xfrm>
        <a:prstGeom prst="rect">
          <a:avLst/>
        </a:prstGeom>
        <a:noFill/>
        <a:ln w="9525" cmpd="sng">
          <a:noFill/>
        </a:ln>
      </cdr:spPr>
      <cdr:txBody>
        <a:bodyPr vertOverflow="clip" wrap="square">
          <a:spAutoFit/>
        </a:bodyPr>
        <a:p>
          <a:pPr algn="l">
            <a:defRPr/>
          </a:pPr>
          <a:r>
            <a:rPr lang="en-US" cap="none" sz="1200" b="1" i="0" u="none" baseline="0">
              <a:latin typeface="Times New Roman"/>
              <a:ea typeface="Times New Roman"/>
              <a:cs typeface="Times New Roman"/>
            </a:rPr>
            <a:t>Releases Prior to OPSW</a:t>
          </a:r>
        </a:p>
      </cdr:txBody>
    </cdr:sp>
  </cdr:relSizeAnchor>
  <cdr:relSizeAnchor xmlns:cdr="http://schemas.openxmlformats.org/drawingml/2006/chartDrawing">
    <cdr:from>
      <cdr:x>0.37875</cdr:x>
      <cdr:y>0.171</cdr:y>
    </cdr:from>
    <cdr:to>
      <cdr:x>0.37875</cdr:x>
      <cdr:y>0.9015</cdr:y>
    </cdr:to>
    <cdr:sp>
      <cdr:nvSpPr>
        <cdr:cNvPr id="4" name="Line 4"/>
        <cdr:cNvSpPr>
          <a:spLocks/>
        </cdr:cNvSpPr>
      </cdr:nvSpPr>
      <cdr:spPr>
        <a:xfrm flipV="1">
          <a:off x="3286125" y="1009650"/>
          <a:ext cx="0" cy="433387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0.40475</cdr:x>
      <cdr:y>0.205</cdr:y>
    </cdr:from>
    <cdr:to>
      <cdr:x>0.5435</cdr:x>
      <cdr:y>0.25875</cdr:y>
    </cdr:to>
    <cdr:sp>
      <cdr:nvSpPr>
        <cdr:cNvPr id="5" name="TextBox 5"/>
        <cdr:cNvSpPr txBox="1">
          <a:spLocks noChangeArrowheads="1"/>
        </cdr:cNvSpPr>
      </cdr:nvSpPr>
      <cdr:spPr>
        <a:xfrm>
          <a:off x="3505200" y="1209675"/>
          <a:ext cx="1200150" cy="314325"/>
        </a:xfrm>
        <a:prstGeom prst="rect">
          <a:avLst/>
        </a:prstGeom>
        <a:noFill/>
        <a:ln w="9525" cmpd="sng">
          <a:noFill/>
        </a:ln>
      </cdr:spPr>
      <cdr:txBody>
        <a:bodyPr vertOverflow="clip" wrap="square"/>
        <a:p>
          <a:pPr algn="l">
            <a:defRPr/>
          </a:pPr>
          <a:r>
            <a:rPr lang="en-US" cap="none" sz="800" b="0" i="0" u="none" baseline="0">
              <a:latin typeface="Times New Roman"/>
              <a:ea typeface="Times New Roman"/>
              <a:cs typeface="Times New Roman"/>
            </a:rPr>
            <a:t>Began Implementation of 1994 WFMP Strategies</a:t>
          </a:r>
        </a:p>
      </cdr:txBody>
    </cdr:sp>
  </cdr:relSizeAnchor>
  <cdr:relSizeAnchor xmlns:cdr="http://schemas.openxmlformats.org/drawingml/2006/chartDrawing">
    <cdr:from>
      <cdr:x>0.60225</cdr:x>
      <cdr:y>0.527</cdr:y>
    </cdr:from>
    <cdr:to>
      <cdr:x>0.90975</cdr:x>
      <cdr:y>0.56125</cdr:y>
    </cdr:to>
    <cdr:sp>
      <cdr:nvSpPr>
        <cdr:cNvPr id="6" name="TextBox 6"/>
        <cdr:cNvSpPr txBox="1">
          <a:spLocks noChangeArrowheads="1"/>
        </cdr:cNvSpPr>
      </cdr:nvSpPr>
      <cdr:spPr>
        <a:xfrm>
          <a:off x="5219700" y="3124200"/>
          <a:ext cx="2667000" cy="200025"/>
        </a:xfrm>
        <a:prstGeom prst="rect">
          <a:avLst/>
        </a:prstGeom>
        <a:noFill/>
        <a:ln w="9525" cmpd="sng">
          <a:noFill/>
        </a:ln>
      </cdr:spPr>
      <cdr:txBody>
        <a:bodyPr vertOverflow="clip" wrap="square">
          <a:spAutoFit/>
        </a:bodyPr>
        <a:p>
          <a:pPr algn="l">
            <a:defRPr/>
          </a:pPr>
          <a:r>
            <a:rPr lang="en-US" cap="none" sz="1000" b="0" i="0" u="none" baseline="0">
              <a:latin typeface="Times New Roman"/>
              <a:ea typeface="Times New Roman"/>
              <a:cs typeface="Times New Roman"/>
            </a:rPr>
            <a:t>Maximum smolt release under OPSW (2.3 million)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0.74875</cdr:x>
      <cdr:y>0.02175</cdr:y>
    </cdr:from>
    <cdr:to>
      <cdr:x>0.74875</cdr:x>
      <cdr:y>0.92925</cdr:y>
    </cdr:to>
    <cdr:sp>
      <cdr:nvSpPr>
        <cdr:cNvPr id="1" name="Line 1"/>
        <cdr:cNvSpPr>
          <a:spLocks/>
        </cdr:cNvSpPr>
      </cdr:nvSpPr>
      <cdr:spPr>
        <a:xfrm flipV="1">
          <a:off x="6496050" y="123825"/>
          <a:ext cx="0" cy="538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0.771</cdr:x>
      <cdr:y>0.05725</cdr:y>
    </cdr:from>
    <cdr:to>
      <cdr:x>0.95625</cdr:x>
      <cdr:y>0.098</cdr:y>
    </cdr:to>
    <cdr:sp>
      <cdr:nvSpPr>
        <cdr:cNvPr id="2" name="TextBox 2"/>
        <cdr:cNvSpPr txBox="1">
          <a:spLocks noChangeArrowheads="1"/>
        </cdr:cNvSpPr>
      </cdr:nvSpPr>
      <cdr:spPr>
        <a:xfrm>
          <a:off x="6686550" y="333375"/>
          <a:ext cx="1609725" cy="238125"/>
        </a:xfrm>
        <a:prstGeom prst="rect">
          <a:avLst/>
        </a:prstGeom>
        <a:noFill/>
        <a:ln w="9525" cmpd="sng">
          <a:noFill/>
        </a:ln>
      </cdr:spPr>
      <cdr:txBody>
        <a:bodyPr vertOverflow="clip" wrap="square">
          <a:spAutoFit/>
        </a:bodyPr>
        <a:p>
          <a:pPr algn="l">
            <a:defRPr/>
          </a:pPr>
          <a:r>
            <a:rPr lang="en-US" cap="none" sz="1200" b="1" i="0" u="none" baseline="0">
              <a:latin typeface="Times New Roman"/>
              <a:ea typeface="Times New Roman"/>
              <a:cs typeface="Times New Roman"/>
            </a:rPr>
            <a:t>Releases Under OPSW</a:t>
          </a:r>
        </a:p>
      </cdr:txBody>
    </cdr:sp>
  </cdr:relSizeAnchor>
  <cdr:relSizeAnchor xmlns:cdr="http://schemas.openxmlformats.org/drawingml/2006/chartDrawing">
    <cdr:from>
      <cdr:x>0.29075</cdr:x>
      <cdr:y>0.0445</cdr:y>
    </cdr:from>
    <cdr:to>
      <cdr:x>0.49175</cdr:x>
      <cdr:y>0.08375</cdr:y>
    </cdr:to>
    <cdr:sp>
      <cdr:nvSpPr>
        <cdr:cNvPr id="3" name="TextBox 3"/>
        <cdr:cNvSpPr txBox="1">
          <a:spLocks noChangeArrowheads="1"/>
        </cdr:cNvSpPr>
      </cdr:nvSpPr>
      <cdr:spPr>
        <a:xfrm>
          <a:off x="2514600" y="257175"/>
          <a:ext cx="1743075" cy="228600"/>
        </a:xfrm>
        <a:prstGeom prst="rect">
          <a:avLst/>
        </a:prstGeom>
        <a:noFill/>
        <a:ln w="9525" cmpd="sng">
          <a:noFill/>
        </a:ln>
      </cdr:spPr>
      <cdr:txBody>
        <a:bodyPr vertOverflow="clip" wrap="square">
          <a:spAutoFit/>
        </a:bodyPr>
        <a:p>
          <a:pPr algn="l">
            <a:defRPr/>
          </a:pPr>
          <a:r>
            <a:rPr lang="en-US" cap="none" sz="1200" b="1" i="0" u="none" baseline="0">
              <a:latin typeface="Times New Roman"/>
              <a:ea typeface="Times New Roman"/>
              <a:cs typeface="Times New Roman"/>
            </a:rPr>
            <a:t>Releases Prior to OPSW</a:t>
          </a:r>
        </a:p>
      </cdr:txBody>
    </cdr:sp>
  </cdr:relSizeAnchor>
  <cdr:relSizeAnchor xmlns:cdr="http://schemas.openxmlformats.org/drawingml/2006/chartDrawing">
    <cdr:from>
      <cdr:x>0.78175</cdr:x>
      <cdr:y>0.80475</cdr:y>
    </cdr:from>
    <cdr:to>
      <cdr:x>0.945</cdr:x>
      <cdr:y>0.86675</cdr:y>
    </cdr:to>
    <cdr:sp>
      <cdr:nvSpPr>
        <cdr:cNvPr id="4" name="TextBox 4"/>
        <cdr:cNvSpPr txBox="1">
          <a:spLocks noChangeArrowheads="1"/>
        </cdr:cNvSpPr>
      </cdr:nvSpPr>
      <cdr:spPr>
        <a:xfrm>
          <a:off x="6781800" y="4772025"/>
          <a:ext cx="1419225" cy="371475"/>
        </a:xfrm>
        <a:prstGeom prst="rect">
          <a:avLst/>
        </a:prstGeom>
        <a:noFill/>
        <a:ln w="9525" cmpd="sng">
          <a:noFill/>
        </a:ln>
      </cdr:spPr>
      <cdr:txBody>
        <a:bodyPr vertOverflow="clip" wrap="square"/>
        <a:p>
          <a:pPr algn="l">
            <a:defRPr/>
          </a:pPr>
          <a:r>
            <a:rPr lang="en-US" cap="none" sz="1000" b="0" i="0" u="none" baseline="0">
              <a:latin typeface="Times New Roman"/>
              <a:ea typeface="Times New Roman"/>
              <a:cs typeface="Times New Roman"/>
            </a:rPr>
            <a:t>Maximum smolt release under OPSW (2.3 million)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6"/>
  <sheetViews>
    <sheetView workbookViewId="0" topLeftCell="A1">
      <selection activeCell="A22" sqref="A22"/>
    </sheetView>
  </sheetViews>
  <sheetFormatPr defaultColWidth="9.33203125" defaultRowHeight="12.75"/>
  <cols>
    <col min="1" max="1" width="11.83203125" style="0" customWidth="1"/>
  </cols>
  <sheetData>
    <row r="1" ht="15.75">
      <c r="A1" s="1" t="s">
        <v>71</v>
      </c>
    </row>
    <row r="2" ht="12.75">
      <c r="A2" t="s">
        <v>81</v>
      </c>
    </row>
    <row r="3" ht="12.75">
      <c r="A3" t="s">
        <v>79</v>
      </c>
    </row>
    <row r="4" ht="12.75">
      <c r="A4" t="s">
        <v>69</v>
      </c>
    </row>
    <row r="5" ht="12.75">
      <c r="A5" t="s">
        <v>72</v>
      </c>
    </row>
    <row r="6" ht="12.75">
      <c r="A6" t="s">
        <v>73</v>
      </c>
    </row>
    <row r="7" ht="12.75">
      <c r="A7" t="s">
        <v>80</v>
      </c>
    </row>
    <row r="8" ht="12.75">
      <c r="A8" t="s">
        <v>74</v>
      </c>
    </row>
    <row r="10" ht="15.75">
      <c r="A10" s="1" t="s">
        <v>70</v>
      </c>
    </row>
    <row r="11" ht="12.75">
      <c r="A11" t="s">
        <v>60</v>
      </c>
    </row>
    <row r="12" ht="12.75">
      <c r="A12" t="s">
        <v>61</v>
      </c>
    </row>
    <row r="13" ht="12.75">
      <c r="A13" t="s">
        <v>62</v>
      </c>
    </row>
    <row r="14" ht="12.75">
      <c r="A14" t="s">
        <v>63</v>
      </c>
    </row>
    <row r="16" ht="15.75">
      <c r="A16" s="1" t="s">
        <v>67</v>
      </c>
    </row>
    <row r="17" spans="1:2" ht="12.75">
      <c r="A17" s="2" t="s">
        <v>34</v>
      </c>
      <c r="B17" s="88" t="s">
        <v>35</v>
      </c>
    </row>
    <row r="18" spans="1:2" ht="12.75">
      <c r="A18" s="86" t="s">
        <v>36</v>
      </c>
      <c r="B18" s="88" t="s">
        <v>39</v>
      </c>
    </row>
    <row r="19" spans="1:2" ht="12.75">
      <c r="A19" s="87" t="s">
        <v>37</v>
      </c>
      <c r="B19" s="88" t="s">
        <v>38</v>
      </c>
    </row>
    <row r="20" spans="1:2" ht="12.75">
      <c r="A20" s="42"/>
      <c r="B20" s="88"/>
    </row>
    <row r="21" spans="1:2" ht="12.75">
      <c r="A21" s="205"/>
      <c r="B21" s="88" t="s">
        <v>68</v>
      </c>
    </row>
    <row r="22" spans="1:2" ht="12.75">
      <c r="A22" s="226"/>
      <c r="B22" s="88" t="s">
        <v>82</v>
      </c>
    </row>
    <row r="24" ht="15.75">
      <c r="A24" s="1" t="s">
        <v>75</v>
      </c>
    </row>
    <row r="25" ht="12.75">
      <c r="A25" t="s">
        <v>76</v>
      </c>
    </row>
    <row r="26" ht="12.75">
      <c r="A26" t="s">
        <v>77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R44"/>
  <sheetViews>
    <sheetView tabSelected="1" zoomScale="84" zoomScaleNormal="84" workbookViewId="0" topLeftCell="A1">
      <pane xSplit="1" ySplit="6" topLeftCell="B7" activePane="bottomRight" state="frozen"/>
      <selection pane="topLeft" activeCell="A1" sqref="A1"/>
      <selection pane="topRight" activeCell="B1" sqref="B1"/>
      <selection pane="bottomLeft" activeCell="A5" sqref="A5"/>
      <selection pane="bottomRight" activeCell="B7" sqref="B7"/>
    </sheetView>
  </sheetViews>
  <sheetFormatPr defaultColWidth="9.33203125" defaultRowHeight="12.75"/>
  <cols>
    <col min="1" max="1" width="6.83203125" style="0" customWidth="1"/>
    <col min="2" max="9" width="9.33203125" style="2" customWidth="1"/>
    <col min="10" max="10" width="10.83203125" style="2" customWidth="1"/>
    <col min="11" max="21" width="9.33203125" style="2" customWidth="1"/>
    <col min="22" max="22" width="10.83203125" style="2" customWidth="1"/>
    <col min="23" max="23" width="9.33203125" style="3" customWidth="1"/>
    <col min="24" max="24" width="9.33203125" style="2" customWidth="1"/>
    <col min="25" max="25" width="10.33203125" style="2" customWidth="1"/>
    <col min="26" max="26" width="11.83203125" style="3" customWidth="1"/>
    <col min="27" max="31" width="9.33203125" style="2" customWidth="1"/>
    <col min="32" max="32" width="10.83203125" style="2" customWidth="1"/>
    <col min="33" max="33" width="9.33203125" style="2" customWidth="1"/>
    <col min="34" max="34" width="10.83203125" style="2" customWidth="1"/>
    <col min="35" max="35" width="9.33203125" style="2" customWidth="1"/>
    <col min="36" max="36" width="9.33203125" style="3" customWidth="1"/>
    <col min="37" max="39" width="9.33203125" style="2" customWidth="1"/>
    <col min="40" max="40" width="9.83203125" style="2" customWidth="1"/>
    <col min="41" max="42" width="9.33203125" style="2" customWidth="1"/>
    <col min="43" max="43" width="10.83203125" style="2" customWidth="1"/>
    <col min="44" max="56" width="9.33203125" style="2" customWidth="1"/>
    <col min="57" max="57" width="10" style="2" customWidth="1"/>
    <col min="58" max="58" width="11.83203125" style="3" customWidth="1"/>
    <col min="59" max="70" width="9.33203125" style="2" customWidth="1"/>
  </cols>
  <sheetData>
    <row r="1" spans="1:70" ht="15.75">
      <c r="A1" s="1" t="s">
        <v>0</v>
      </c>
      <c r="M1" s="77"/>
      <c r="P1" s="51"/>
      <c r="AM1" s="51"/>
      <c r="AS1" s="51"/>
      <c r="BR1" s="51"/>
    </row>
    <row r="2" spans="2:70" ht="15.75">
      <c r="B2" s="2" t="str">
        <f>I2</f>
        <v>North Coast MA</v>
      </c>
      <c r="I2" s="58" t="s">
        <v>5</v>
      </c>
      <c r="M2" s="77"/>
      <c r="P2" s="51"/>
      <c r="Q2" s="132" t="str">
        <f>AB2</f>
        <v>Mid Coast MA</v>
      </c>
      <c r="AB2" s="58" t="s">
        <v>11</v>
      </c>
      <c r="AM2" s="51"/>
      <c r="AN2" s="132" t="str">
        <f>AP2</f>
        <v>Umpqua MA</v>
      </c>
      <c r="AP2" s="99" t="s">
        <v>14</v>
      </c>
      <c r="AS2" s="51"/>
      <c r="AT2" s="132" t="str">
        <f>BF2</f>
        <v>Mid-South Coast MA</v>
      </c>
      <c r="BE2" s="99" t="str">
        <f>BF2</f>
        <v>Mid-South Coast MA</v>
      </c>
      <c r="BF2" s="58" t="s">
        <v>18</v>
      </c>
      <c r="BG2" s="58"/>
      <c r="BH2" s="58"/>
      <c r="BI2" s="99"/>
      <c r="BR2" s="51"/>
    </row>
    <row r="3" spans="2:70" ht="12.75" customHeight="1">
      <c r="B3" s="7"/>
      <c r="G3" s="58"/>
      <c r="I3" s="58"/>
      <c r="M3" s="77"/>
      <c r="P3" s="51"/>
      <c r="Q3" s="132"/>
      <c r="W3" s="58"/>
      <c r="X3" s="58"/>
      <c r="Y3" s="58"/>
      <c r="Z3" s="58"/>
      <c r="AA3" s="58"/>
      <c r="AB3" s="58"/>
      <c r="AM3" s="51"/>
      <c r="AN3" s="132"/>
      <c r="AO3" s="58"/>
      <c r="AP3" s="99"/>
      <c r="AS3" s="51"/>
      <c r="AT3" s="132"/>
      <c r="BE3" s="58"/>
      <c r="BR3" s="51"/>
    </row>
    <row r="4" spans="1:70" ht="12.75">
      <c r="A4" s="5"/>
      <c r="B4" s="64" t="str">
        <f>C4</f>
        <v>Necanicum</v>
      </c>
      <c r="C4" s="65" t="s">
        <v>1</v>
      </c>
      <c r="D4" s="66"/>
      <c r="E4" s="6" t="str">
        <f>F4</f>
        <v>Nehalem</v>
      </c>
      <c r="F4" s="7" t="s">
        <v>2</v>
      </c>
      <c r="G4" s="29"/>
      <c r="H4" s="6" t="str">
        <f>I4</f>
        <v>Tillamook</v>
      </c>
      <c r="I4" s="206" t="s">
        <v>3</v>
      </c>
      <c r="J4" s="29"/>
      <c r="K4" s="6" t="str">
        <f>L4</f>
        <v>Nestucca</v>
      </c>
      <c r="L4" s="7" t="s">
        <v>4</v>
      </c>
      <c r="M4" s="29"/>
      <c r="N4" s="78"/>
      <c r="O4" s="79" t="s">
        <v>33</v>
      </c>
      <c r="P4" s="54"/>
      <c r="Q4" s="133" t="str">
        <f>R4</f>
        <v>Salmon</v>
      </c>
      <c r="R4" s="89" t="s">
        <v>6</v>
      </c>
      <c r="S4" s="33"/>
      <c r="T4" s="6" t="str">
        <f>U4</f>
        <v>Siletz</v>
      </c>
      <c r="U4" s="7" t="s">
        <v>7</v>
      </c>
      <c r="V4" s="29"/>
      <c r="W4" s="6" t="str">
        <f>X4</f>
        <v>Yaquina</v>
      </c>
      <c r="X4" s="7" t="s">
        <v>8</v>
      </c>
      <c r="Y4" s="77"/>
      <c r="Z4" s="101" t="s">
        <v>45</v>
      </c>
      <c r="AA4" s="64" t="str">
        <f>AB4</f>
        <v>Beaver Creek</v>
      </c>
      <c r="AB4" s="207" t="s">
        <v>40</v>
      </c>
      <c r="AC4" s="33"/>
      <c r="AD4" s="6" t="str">
        <f>AE4</f>
        <v>Alsea</v>
      </c>
      <c r="AE4" s="7" t="s">
        <v>9</v>
      </c>
      <c r="AF4" s="29"/>
      <c r="AG4" s="6" t="str">
        <f>AH4</f>
        <v>Siuslaw</v>
      </c>
      <c r="AH4" s="7" t="s">
        <v>10</v>
      </c>
      <c r="AI4" s="7"/>
      <c r="AJ4" s="101" t="s">
        <v>45</v>
      </c>
      <c r="AK4" s="78"/>
      <c r="AL4" s="79" t="s">
        <v>33</v>
      </c>
      <c r="AM4" s="54"/>
      <c r="AN4" s="141" t="str">
        <f>AO4</f>
        <v>Lower Umpqua</v>
      </c>
      <c r="AO4" s="7" t="s">
        <v>12</v>
      </c>
      <c r="AP4" s="29"/>
      <c r="AQ4" s="6" t="str">
        <f>AR4</f>
        <v>Upper Umpqua</v>
      </c>
      <c r="AR4" s="7" t="s">
        <v>13</v>
      </c>
      <c r="AS4" s="51"/>
      <c r="AT4" s="133" t="str">
        <f>AU4</f>
        <v>Siltcoos Lake</v>
      </c>
      <c r="AU4" s="89" t="s">
        <v>42</v>
      </c>
      <c r="AV4" s="33"/>
      <c r="AW4" s="64" t="str">
        <f>AX4</f>
        <v>Tahkenitch Lake</v>
      </c>
      <c r="AX4" s="89" t="s">
        <v>43</v>
      </c>
      <c r="AY4" s="33"/>
      <c r="AZ4" s="64" t="str">
        <f>BA4</f>
        <v>Tenmile Lake</v>
      </c>
      <c r="BA4" s="89" t="s">
        <v>44</v>
      </c>
      <c r="BB4" s="33"/>
      <c r="BC4" s="64" t="str">
        <f>BD4</f>
        <v>Coos</v>
      </c>
      <c r="BD4" s="89" t="s">
        <v>15</v>
      </c>
      <c r="BE4" s="121"/>
      <c r="BF4" s="122" t="s">
        <v>45</v>
      </c>
      <c r="BG4" s="6" t="str">
        <f>BH4</f>
        <v>Coquille</v>
      </c>
      <c r="BH4" s="7" t="s">
        <v>16</v>
      </c>
      <c r="BI4" s="29"/>
      <c r="BJ4" s="64" t="str">
        <f>BK4</f>
        <v>Floras</v>
      </c>
      <c r="BK4" s="89" t="s">
        <v>41</v>
      </c>
      <c r="BL4" s="33"/>
      <c r="BM4" s="64" t="str">
        <f>BN4</f>
        <v>Sixes</v>
      </c>
      <c r="BN4" s="89" t="s">
        <v>17</v>
      </c>
      <c r="BO4" s="33"/>
      <c r="BP4" s="78"/>
      <c r="BQ4" s="79" t="s">
        <v>33</v>
      </c>
      <c r="BR4" s="54"/>
    </row>
    <row r="5" spans="1:70" ht="12.75">
      <c r="A5" s="9" t="s">
        <v>20</v>
      </c>
      <c r="B5" s="67" t="s">
        <v>21</v>
      </c>
      <c r="C5" s="67"/>
      <c r="D5" s="68"/>
      <c r="E5" s="10" t="s">
        <v>21</v>
      </c>
      <c r="F5" s="10"/>
      <c r="G5" s="30"/>
      <c r="H5" s="10" t="s">
        <v>21</v>
      </c>
      <c r="I5" s="10"/>
      <c r="J5" s="30"/>
      <c r="K5" s="10" t="s">
        <v>21</v>
      </c>
      <c r="L5" s="10"/>
      <c r="M5" s="30"/>
      <c r="N5" s="80" t="s">
        <v>21</v>
      </c>
      <c r="O5" s="80"/>
      <c r="P5" s="81"/>
      <c r="Q5" s="134" t="s">
        <v>21</v>
      </c>
      <c r="R5" s="90"/>
      <c r="S5" s="91"/>
      <c r="T5" s="10" t="s">
        <v>21</v>
      </c>
      <c r="U5" s="10"/>
      <c r="V5" s="30"/>
      <c r="W5" s="11" t="s">
        <v>21</v>
      </c>
      <c r="X5" s="10"/>
      <c r="Y5" s="17"/>
      <c r="Z5" s="101" t="s">
        <v>46</v>
      </c>
      <c r="AA5" s="90" t="s">
        <v>21</v>
      </c>
      <c r="AB5" s="90"/>
      <c r="AC5" s="91"/>
      <c r="AD5" s="10" t="s">
        <v>21</v>
      </c>
      <c r="AE5" s="10"/>
      <c r="AF5" s="30"/>
      <c r="AG5" s="10" t="s">
        <v>21</v>
      </c>
      <c r="AH5" s="10"/>
      <c r="AI5" s="10"/>
      <c r="AJ5" s="101" t="s">
        <v>46</v>
      </c>
      <c r="AK5" s="80" t="s">
        <v>21</v>
      </c>
      <c r="AL5" s="80"/>
      <c r="AM5" s="81"/>
      <c r="AN5" s="142" t="s">
        <v>21</v>
      </c>
      <c r="AO5" s="10"/>
      <c r="AP5" s="30"/>
      <c r="AQ5" s="10" t="s">
        <v>21</v>
      </c>
      <c r="AR5" s="10"/>
      <c r="AS5" s="52"/>
      <c r="AT5" s="134" t="s">
        <v>21</v>
      </c>
      <c r="AU5" s="90"/>
      <c r="AV5" s="91"/>
      <c r="AW5" s="90" t="s">
        <v>21</v>
      </c>
      <c r="AX5" s="90"/>
      <c r="AY5" s="91"/>
      <c r="AZ5" s="90" t="s">
        <v>21</v>
      </c>
      <c r="BA5" s="90"/>
      <c r="BB5" s="91"/>
      <c r="BC5" s="90" t="s">
        <v>21</v>
      </c>
      <c r="BD5" s="90"/>
      <c r="BE5" s="94"/>
      <c r="BF5" s="122" t="s">
        <v>46</v>
      </c>
      <c r="BG5" s="10" t="s">
        <v>21</v>
      </c>
      <c r="BH5" s="10"/>
      <c r="BI5" s="30"/>
      <c r="BJ5" s="90" t="s">
        <v>21</v>
      </c>
      <c r="BK5" s="90"/>
      <c r="BL5" s="91"/>
      <c r="BM5" s="90" t="s">
        <v>21</v>
      </c>
      <c r="BN5" s="90"/>
      <c r="BO5" s="91"/>
      <c r="BP5" s="80" t="s">
        <v>21</v>
      </c>
      <c r="BQ5" s="80"/>
      <c r="BR5" s="81"/>
    </row>
    <row r="6" spans="1:70" ht="13.5" thickBot="1">
      <c r="A6" s="13" t="s">
        <v>22</v>
      </c>
      <c r="B6" s="69" t="s">
        <v>23</v>
      </c>
      <c r="C6" s="69" t="s">
        <v>24</v>
      </c>
      <c r="D6" s="70" t="s">
        <v>25</v>
      </c>
      <c r="E6" s="14" t="s">
        <v>23</v>
      </c>
      <c r="F6" s="14" t="s">
        <v>24</v>
      </c>
      <c r="G6" s="31" t="s">
        <v>25</v>
      </c>
      <c r="H6" s="14" t="s">
        <v>23</v>
      </c>
      <c r="I6" s="14" t="s">
        <v>24</v>
      </c>
      <c r="J6" s="31" t="s">
        <v>25</v>
      </c>
      <c r="K6" s="14" t="s">
        <v>23</v>
      </c>
      <c r="L6" s="14" t="s">
        <v>24</v>
      </c>
      <c r="M6" s="31" t="s">
        <v>25</v>
      </c>
      <c r="N6" s="82" t="s">
        <v>23</v>
      </c>
      <c r="O6" s="82" t="s">
        <v>24</v>
      </c>
      <c r="P6" s="83" t="s">
        <v>25</v>
      </c>
      <c r="Q6" s="135" t="s">
        <v>23</v>
      </c>
      <c r="R6" s="92" t="s">
        <v>24</v>
      </c>
      <c r="S6" s="93" t="s">
        <v>25</v>
      </c>
      <c r="T6" s="14" t="s">
        <v>23</v>
      </c>
      <c r="U6" s="14" t="s">
        <v>24</v>
      </c>
      <c r="V6" s="31" t="s">
        <v>25</v>
      </c>
      <c r="W6" s="15" t="s">
        <v>26</v>
      </c>
      <c r="X6" s="14" t="s">
        <v>24</v>
      </c>
      <c r="Y6" s="14" t="s">
        <v>25</v>
      </c>
      <c r="Z6" s="102" t="s">
        <v>25</v>
      </c>
      <c r="AA6" s="92" t="s">
        <v>23</v>
      </c>
      <c r="AB6" s="92" t="s">
        <v>24</v>
      </c>
      <c r="AC6" s="93" t="s">
        <v>25</v>
      </c>
      <c r="AD6" s="14" t="s">
        <v>23</v>
      </c>
      <c r="AE6" s="14" t="s">
        <v>24</v>
      </c>
      <c r="AF6" s="31" t="s">
        <v>25</v>
      </c>
      <c r="AG6" s="14" t="s">
        <v>23</v>
      </c>
      <c r="AH6" s="14" t="s">
        <v>24</v>
      </c>
      <c r="AI6" s="14" t="s">
        <v>25</v>
      </c>
      <c r="AJ6" s="102" t="s">
        <v>25</v>
      </c>
      <c r="AK6" s="82" t="s">
        <v>23</v>
      </c>
      <c r="AL6" s="82" t="s">
        <v>24</v>
      </c>
      <c r="AM6" s="83" t="s">
        <v>25</v>
      </c>
      <c r="AN6" s="143" t="s">
        <v>23</v>
      </c>
      <c r="AO6" s="14" t="s">
        <v>24</v>
      </c>
      <c r="AP6" s="31" t="s">
        <v>25</v>
      </c>
      <c r="AQ6" s="14" t="s">
        <v>23</v>
      </c>
      <c r="AR6" s="14" t="s">
        <v>24</v>
      </c>
      <c r="AS6" s="53" t="s">
        <v>25</v>
      </c>
      <c r="AT6" s="135" t="s">
        <v>23</v>
      </c>
      <c r="AU6" s="92" t="s">
        <v>24</v>
      </c>
      <c r="AV6" s="93" t="s">
        <v>25</v>
      </c>
      <c r="AW6" s="92" t="s">
        <v>23</v>
      </c>
      <c r="AX6" s="92" t="s">
        <v>24</v>
      </c>
      <c r="AY6" s="93" t="s">
        <v>25</v>
      </c>
      <c r="AZ6" s="92" t="s">
        <v>23</v>
      </c>
      <c r="BA6" s="92" t="s">
        <v>24</v>
      </c>
      <c r="BB6" s="93" t="s">
        <v>25</v>
      </c>
      <c r="BC6" s="92" t="s">
        <v>23</v>
      </c>
      <c r="BD6" s="92" t="s">
        <v>24</v>
      </c>
      <c r="BE6" s="92" t="s">
        <v>25</v>
      </c>
      <c r="BF6" s="123" t="s">
        <v>25</v>
      </c>
      <c r="BG6" s="14" t="s">
        <v>23</v>
      </c>
      <c r="BH6" s="14" t="s">
        <v>24</v>
      </c>
      <c r="BI6" s="31" t="s">
        <v>25</v>
      </c>
      <c r="BJ6" s="92" t="s">
        <v>23</v>
      </c>
      <c r="BK6" s="92" t="s">
        <v>24</v>
      </c>
      <c r="BL6" s="93" t="s">
        <v>25</v>
      </c>
      <c r="BM6" s="92" t="s">
        <v>23</v>
      </c>
      <c r="BN6" s="92" t="s">
        <v>24</v>
      </c>
      <c r="BO6" s="93" t="s">
        <v>25</v>
      </c>
      <c r="BP6" s="82" t="s">
        <v>23</v>
      </c>
      <c r="BQ6" s="82" t="s">
        <v>24</v>
      </c>
      <c r="BR6" s="83" t="s">
        <v>25</v>
      </c>
    </row>
    <row r="7" spans="1:70" s="131" customFormat="1" ht="12.75">
      <c r="A7" s="127">
        <v>1980</v>
      </c>
      <c r="B7" s="164"/>
      <c r="C7" s="229"/>
      <c r="D7" s="230"/>
      <c r="E7" s="165"/>
      <c r="F7" s="227"/>
      <c r="G7" s="228"/>
      <c r="H7" s="165"/>
      <c r="I7" s="227"/>
      <c r="J7" s="228"/>
      <c r="K7" s="165"/>
      <c r="L7" s="227"/>
      <c r="M7" s="228"/>
      <c r="N7" s="165"/>
      <c r="O7" s="227"/>
      <c r="P7" s="231"/>
      <c r="Q7" s="166"/>
      <c r="R7" s="227"/>
      <c r="S7" s="228"/>
      <c r="T7" s="165"/>
      <c r="U7" s="227"/>
      <c r="V7" s="228"/>
      <c r="W7" s="165"/>
      <c r="X7" s="22">
        <f>24500+25600+554204</f>
        <v>604304</v>
      </c>
      <c r="Y7" s="22">
        <v>0</v>
      </c>
      <c r="Z7" s="105">
        <v>7584916</v>
      </c>
      <c r="AA7" s="165"/>
      <c r="AB7" s="227"/>
      <c r="AC7" s="228"/>
      <c r="AD7" s="165"/>
      <c r="AE7" s="227"/>
      <c r="AF7" s="228"/>
      <c r="AG7" s="165"/>
      <c r="AH7" s="22">
        <f>26350+16000+5159+22000+40750+126545+33000+58408+38076+99793+23950+50600+3000+18450+110132+115632+59950+24000+44950+36000+387625+80161+19950+16500+40210+4000+15500+109985+39850+30240+12500+13485+34040</f>
        <v>1756791</v>
      </c>
      <c r="AI7" s="22">
        <v>0</v>
      </c>
      <c r="AJ7" s="105">
        <v>240920</v>
      </c>
      <c r="AK7" s="165"/>
      <c r="AL7" s="227"/>
      <c r="AM7" s="231"/>
      <c r="AN7" s="166"/>
      <c r="AO7" s="227"/>
      <c r="AP7" s="228"/>
      <c r="AQ7" s="165"/>
      <c r="AR7" s="227"/>
      <c r="AS7" s="231"/>
      <c r="AT7" s="166"/>
      <c r="AU7" s="227"/>
      <c r="AV7" s="228"/>
      <c r="AW7" s="165"/>
      <c r="AX7" s="227"/>
      <c r="AY7" s="228"/>
      <c r="AZ7" s="165"/>
      <c r="BA7" s="227"/>
      <c r="BB7" s="228"/>
      <c r="BC7" s="165"/>
      <c r="BD7" s="128">
        <v>0</v>
      </c>
      <c r="BE7" s="128">
        <v>0</v>
      </c>
      <c r="BF7" s="124">
        <v>6991510</v>
      </c>
      <c r="BG7" s="165"/>
      <c r="BH7" s="227"/>
      <c r="BI7" s="228"/>
      <c r="BJ7" s="165"/>
      <c r="BK7" s="227"/>
      <c r="BL7" s="228"/>
      <c r="BM7" s="165"/>
      <c r="BN7" s="227"/>
      <c r="BO7" s="228"/>
      <c r="BP7" s="165"/>
      <c r="BQ7" s="227"/>
      <c r="BR7" s="231"/>
    </row>
    <row r="8" spans="1:70" s="131" customFormat="1" ht="12.75">
      <c r="A8" s="127">
        <v>1981</v>
      </c>
      <c r="B8" s="164"/>
      <c r="C8" s="229"/>
      <c r="D8" s="230"/>
      <c r="E8" s="165"/>
      <c r="F8" s="227"/>
      <c r="G8" s="228"/>
      <c r="H8" s="165"/>
      <c r="I8" s="227"/>
      <c r="J8" s="228"/>
      <c r="K8" s="165"/>
      <c r="L8" s="227"/>
      <c r="M8" s="228"/>
      <c r="N8" s="165"/>
      <c r="O8" s="227"/>
      <c r="P8" s="231"/>
      <c r="Q8" s="166"/>
      <c r="R8" s="227"/>
      <c r="S8" s="228"/>
      <c r="T8" s="165"/>
      <c r="U8" s="227"/>
      <c r="V8" s="228"/>
      <c r="W8" s="165"/>
      <c r="X8" s="22">
        <f>58038+67620+60060</f>
        <v>185718</v>
      </c>
      <c r="Y8" s="22">
        <v>0</v>
      </c>
      <c r="Z8" s="105">
        <v>11925359</v>
      </c>
      <c r="AA8" s="165"/>
      <c r="AB8" s="227"/>
      <c r="AC8" s="228"/>
      <c r="AD8" s="165"/>
      <c r="AE8" s="227"/>
      <c r="AF8" s="228"/>
      <c r="AG8" s="165"/>
      <c r="AH8" s="22">
        <f>14971+44828+12070+35131+65878+164195+100871+185579+29932+114257+5035+19996+373864+160333+29950+77452+204965+20016+29193+4022+64204+29932+44972+20116+25766+9073+33984+32956+147136</f>
        <v>2100677</v>
      </c>
      <c r="AI8" s="22">
        <v>0</v>
      </c>
      <c r="AJ8" s="105">
        <v>157680</v>
      </c>
      <c r="AK8" s="165"/>
      <c r="AL8" s="227"/>
      <c r="AM8" s="231"/>
      <c r="AN8" s="166"/>
      <c r="AO8" s="227"/>
      <c r="AP8" s="228"/>
      <c r="AQ8" s="165"/>
      <c r="AR8" s="227"/>
      <c r="AS8" s="231"/>
      <c r="AT8" s="166"/>
      <c r="AU8" s="227"/>
      <c r="AV8" s="228"/>
      <c r="AW8" s="165"/>
      <c r="AX8" s="227"/>
      <c r="AY8" s="228"/>
      <c r="AZ8" s="165"/>
      <c r="BA8" s="227"/>
      <c r="BB8" s="228"/>
      <c r="BC8" s="165"/>
      <c r="BD8" s="128">
        <v>0</v>
      </c>
      <c r="BE8" s="128">
        <v>0</v>
      </c>
      <c r="BF8" s="124">
        <v>11769369</v>
      </c>
      <c r="BG8" s="165"/>
      <c r="BH8" s="227"/>
      <c r="BI8" s="228"/>
      <c r="BJ8" s="165"/>
      <c r="BK8" s="227"/>
      <c r="BL8" s="228"/>
      <c r="BM8" s="165"/>
      <c r="BN8" s="227"/>
      <c r="BO8" s="228"/>
      <c r="BP8" s="165"/>
      <c r="BQ8" s="227"/>
      <c r="BR8" s="231"/>
    </row>
    <row r="9" spans="1:70" s="131" customFormat="1" ht="12.75">
      <c r="A9" s="127">
        <v>1982</v>
      </c>
      <c r="B9" s="164"/>
      <c r="C9" s="229"/>
      <c r="D9" s="230"/>
      <c r="E9" s="165"/>
      <c r="F9" s="227"/>
      <c r="G9" s="228"/>
      <c r="H9" s="165"/>
      <c r="I9" s="227"/>
      <c r="J9" s="228"/>
      <c r="K9" s="165"/>
      <c r="L9" s="227"/>
      <c r="M9" s="228"/>
      <c r="N9" s="165"/>
      <c r="O9" s="227"/>
      <c r="P9" s="231"/>
      <c r="Q9" s="166"/>
      <c r="R9" s="227"/>
      <c r="S9" s="228"/>
      <c r="T9" s="165"/>
      <c r="U9" s="227"/>
      <c r="V9" s="228"/>
      <c r="W9" s="165"/>
      <c r="X9" s="22">
        <f>57165+67035+60158</f>
        <v>184358</v>
      </c>
      <c r="Y9" s="22">
        <v>0</v>
      </c>
      <c r="Z9" s="105">
        <v>20588602</v>
      </c>
      <c r="AA9" s="165"/>
      <c r="AB9" s="227"/>
      <c r="AC9" s="228"/>
      <c r="AD9" s="165"/>
      <c r="AE9" s="227"/>
      <c r="AF9" s="228"/>
      <c r="AG9" s="165"/>
      <c r="AH9" s="22">
        <f>14924+43830+17056+12000+34932+64920+104696+39996+25000+102625+191877+23944+114911+5084+20008+371097+41909+19988+30012+33948+135890+195950+15088+29010+69864+64685+30005+85056+19973+20008+13890+33948+34932+167366</f>
        <v>2228422</v>
      </c>
      <c r="AI9" s="22">
        <v>0</v>
      </c>
      <c r="AJ9" s="105">
        <v>61000</v>
      </c>
      <c r="AK9" s="165"/>
      <c r="AL9" s="227"/>
      <c r="AM9" s="231"/>
      <c r="AN9" s="166"/>
      <c r="AO9" s="227"/>
      <c r="AP9" s="228"/>
      <c r="AQ9" s="165"/>
      <c r="AR9" s="227"/>
      <c r="AS9" s="231"/>
      <c r="AT9" s="166"/>
      <c r="AU9" s="227"/>
      <c r="AV9" s="228"/>
      <c r="AW9" s="165"/>
      <c r="AX9" s="227"/>
      <c r="AY9" s="228"/>
      <c r="AZ9" s="165"/>
      <c r="BA9" s="227"/>
      <c r="BB9" s="228"/>
      <c r="BC9" s="165"/>
      <c r="BD9" s="128">
        <v>0</v>
      </c>
      <c r="BE9" s="128">
        <v>0</v>
      </c>
      <c r="BF9" s="124">
        <v>2457714</v>
      </c>
      <c r="BG9" s="165"/>
      <c r="BH9" s="227"/>
      <c r="BI9" s="228"/>
      <c r="BJ9" s="165"/>
      <c r="BK9" s="227"/>
      <c r="BL9" s="228"/>
      <c r="BM9" s="165"/>
      <c r="BN9" s="227"/>
      <c r="BO9" s="228"/>
      <c r="BP9" s="165"/>
      <c r="BQ9" s="227"/>
      <c r="BR9" s="231"/>
    </row>
    <row r="10" spans="1:70" s="131" customFormat="1" ht="12.75">
      <c r="A10" s="127">
        <v>1983</v>
      </c>
      <c r="B10" s="164"/>
      <c r="C10" s="229"/>
      <c r="D10" s="230"/>
      <c r="E10" s="165"/>
      <c r="F10" s="227"/>
      <c r="G10" s="228"/>
      <c r="H10" s="165"/>
      <c r="I10" s="227"/>
      <c r="J10" s="228"/>
      <c r="K10" s="165"/>
      <c r="L10" s="227"/>
      <c r="M10" s="228"/>
      <c r="N10" s="165"/>
      <c r="O10" s="227"/>
      <c r="P10" s="231"/>
      <c r="Q10" s="166"/>
      <c r="R10" s="227"/>
      <c r="S10" s="228"/>
      <c r="T10" s="165"/>
      <c r="U10" s="227"/>
      <c r="V10" s="228"/>
      <c r="W10" s="165"/>
      <c r="X10" s="22">
        <v>0</v>
      </c>
      <c r="Y10" s="22">
        <v>0</v>
      </c>
      <c r="Z10" s="105">
        <v>14888994</v>
      </c>
      <c r="AA10" s="165"/>
      <c r="AB10" s="227"/>
      <c r="AC10" s="228"/>
      <c r="AD10" s="165"/>
      <c r="AE10" s="227"/>
      <c r="AF10" s="228"/>
      <c r="AG10" s="165"/>
      <c r="AH10" s="22">
        <f>47600+34680+21240+20060+23000+154916+29972+29378+161986+15104+61320+8000+60602+29450+59750+8200+24635+25095+17583+34735+29388+57503</f>
        <v>954197</v>
      </c>
      <c r="AI10" s="22">
        <f>56028</f>
        <v>56028</v>
      </c>
      <c r="AJ10" s="105">
        <v>47000</v>
      </c>
      <c r="AK10" s="165"/>
      <c r="AL10" s="227"/>
      <c r="AM10" s="231"/>
      <c r="AN10" s="166"/>
      <c r="AO10" s="227"/>
      <c r="AP10" s="228"/>
      <c r="AQ10" s="165"/>
      <c r="AR10" s="227"/>
      <c r="AS10" s="231"/>
      <c r="AT10" s="166"/>
      <c r="AU10" s="227"/>
      <c r="AV10" s="228"/>
      <c r="AW10" s="165"/>
      <c r="AX10" s="227"/>
      <c r="AY10" s="228"/>
      <c r="AZ10" s="165"/>
      <c r="BA10" s="227"/>
      <c r="BB10" s="228"/>
      <c r="BC10" s="165"/>
      <c r="BD10" s="128">
        <f>17000+17000+1000</f>
        <v>35000</v>
      </c>
      <c r="BE10" s="128">
        <f>15000</f>
        <v>15000</v>
      </c>
      <c r="BF10" s="124">
        <v>1222291</v>
      </c>
      <c r="BG10" s="165"/>
      <c r="BH10" s="227"/>
      <c r="BI10" s="228"/>
      <c r="BJ10" s="165"/>
      <c r="BK10" s="227"/>
      <c r="BL10" s="228"/>
      <c r="BM10" s="165"/>
      <c r="BN10" s="227"/>
      <c r="BO10" s="228"/>
      <c r="BP10" s="165"/>
      <c r="BQ10" s="227"/>
      <c r="BR10" s="231"/>
    </row>
    <row r="11" spans="1:70" s="131" customFormat="1" ht="12.75">
      <c r="A11" s="127">
        <v>1984</v>
      </c>
      <c r="B11" s="164"/>
      <c r="C11" s="229"/>
      <c r="D11" s="230"/>
      <c r="E11" s="165"/>
      <c r="F11" s="227"/>
      <c r="G11" s="228"/>
      <c r="H11" s="165"/>
      <c r="I11" s="227"/>
      <c r="J11" s="228"/>
      <c r="K11" s="165"/>
      <c r="L11" s="227"/>
      <c r="M11" s="228"/>
      <c r="N11" s="165"/>
      <c r="O11" s="227"/>
      <c r="P11" s="231"/>
      <c r="Q11" s="166"/>
      <c r="R11" s="227"/>
      <c r="S11" s="228"/>
      <c r="T11" s="165"/>
      <c r="U11" s="227"/>
      <c r="V11" s="228"/>
      <c r="W11" s="165"/>
      <c r="X11" s="22">
        <v>0</v>
      </c>
      <c r="Y11" s="22">
        <v>0</v>
      </c>
      <c r="Z11" s="105">
        <v>8647180</v>
      </c>
      <c r="AA11" s="165"/>
      <c r="AB11" s="227"/>
      <c r="AC11" s="228"/>
      <c r="AD11" s="165"/>
      <c r="AE11" s="227"/>
      <c r="AF11" s="228"/>
      <c r="AG11" s="165"/>
      <c r="AH11" s="22">
        <f>26080+58762+111293+13820+12090+51035</f>
        <v>273080</v>
      </c>
      <c r="AI11" s="22">
        <v>0</v>
      </c>
      <c r="AJ11" s="105">
        <v>0</v>
      </c>
      <c r="AK11" s="165"/>
      <c r="AL11" s="227"/>
      <c r="AM11" s="231"/>
      <c r="AN11" s="166"/>
      <c r="AO11" s="227"/>
      <c r="AP11" s="228"/>
      <c r="AQ11" s="165"/>
      <c r="AR11" s="227"/>
      <c r="AS11" s="231"/>
      <c r="AT11" s="166"/>
      <c r="AU11" s="227"/>
      <c r="AV11" s="228"/>
      <c r="AW11" s="165"/>
      <c r="AX11" s="227"/>
      <c r="AY11" s="228"/>
      <c r="AZ11" s="165"/>
      <c r="BA11" s="227"/>
      <c r="BB11" s="228"/>
      <c r="BC11" s="165"/>
      <c r="BD11" s="128">
        <v>0</v>
      </c>
      <c r="BE11" s="128">
        <v>0</v>
      </c>
      <c r="BF11" s="124">
        <v>2272216</v>
      </c>
      <c r="BG11" s="165"/>
      <c r="BH11" s="227"/>
      <c r="BI11" s="228"/>
      <c r="BJ11" s="165"/>
      <c r="BK11" s="227"/>
      <c r="BL11" s="228"/>
      <c r="BM11" s="165"/>
      <c r="BN11" s="227"/>
      <c r="BO11" s="228"/>
      <c r="BP11" s="165"/>
      <c r="BQ11" s="227"/>
      <c r="BR11" s="231"/>
    </row>
    <row r="12" spans="1:70" s="131" customFormat="1" ht="12.75">
      <c r="A12" s="127">
        <v>1985</v>
      </c>
      <c r="B12" s="129">
        <f>32988+24584+26180+16149+51302+50854+46370+16315</f>
        <v>264742</v>
      </c>
      <c r="C12" s="229"/>
      <c r="D12" s="230"/>
      <c r="E12" s="22">
        <f>18260+28549+9000+55000+18835+15000+70132+39950+25000+13500+34265</f>
        <v>327491</v>
      </c>
      <c r="F12" s="227"/>
      <c r="G12" s="228"/>
      <c r="H12" s="22">
        <f>176442+1949+19500+18039+19579+70000+58990+78400+28400+58680+59500+98750+115400+19670+39300+18813</f>
        <v>881412</v>
      </c>
      <c r="I12" s="227"/>
      <c r="J12" s="228"/>
      <c r="K12" s="22">
        <f>80293+19840+29790+36621+28358+38777+25200+38000+179106+36600</f>
        <v>512585</v>
      </c>
      <c r="L12" s="227"/>
      <c r="M12" s="228"/>
      <c r="N12" s="130">
        <f>9555+15000+5000</f>
        <v>29555</v>
      </c>
      <c r="O12" s="227"/>
      <c r="P12" s="231"/>
      <c r="Q12" s="136">
        <f>84830+32500+14910+14800</f>
        <v>147040</v>
      </c>
      <c r="R12" s="227"/>
      <c r="S12" s="228"/>
      <c r="T12" s="22">
        <f>14500+19500+14900</f>
        <v>48900</v>
      </c>
      <c r="U12" s="227"/>
      <c r="V12" s="228"/>
      <c r="W12" s="22">
        <f>16911+26000</f>
        <v>42911</v>
      </c>
      <c r="X12" s="22">
        <v>0</v>
      </c>
      <c r="Y12" s="22">
        <v>0</v>
      </c>
      <c r="Z12" s="105">
        <v>4337276</v>
      </c>
      <c r="AA12" s="128">
        <v>0</v>
      </c>
      <c r="AB12" s="227"/>
      <c r="AC12" s="228"/>
      <c r="AD12" s="22">
        <f>230470+13732+8000+10000</f>
        <v>262202</v>
      </c>
      <c r="AE12" s="227"/>
      <c r="AF12" s="228"/>
      <c r="AG12" s="22">
        <f>24000+47380+29802+21000+37083+23600+14868+9931+199000+28807+69600+29500</f>
        <v>534571</v>
      </c>
      <c r="AH12" s="22">
        <f>199772+229204+50040</f>
        <v>479016</v>
      </c>
      <c r="AI12" s="22">
        <f>51796</f>
        <v>51796</v>
      </c>
      <c r="AJ12" s="105">
        <v>0</v>
      </c>
      <c r="AK12" s="130">
        <f>25000+6645+4893</f>
        <v>36538</v>
      </c>
      <c r="AL12" s="227"/>
      <c r="AM12" s="231"/>
      <c r="AN12" s="144">
        <f>17106+17645+8685+10834+17670+370000+24800+8812</f>
        <v>475552</v>
      </c>
      <c r="AO12" s="227"/>
      <c r="AP12" s="228"/>
      <c r="AQ12" s="22">
        <f>56554+123046+48927+14500+14460+73361+8000+49500+9932+9746+73494</f>
        <v>481520</v>
      </c>
      <c r="AR12" s="227"/>
      <c r="AS12" s="231"/>
      <c r="AT12" s="136">
        <v>0</v>
      </c>
      <c r="AU12" s="227"/>
      <c r="AV12" s="228"/>
      <c r="AW12" s="128">
        <v>0</v>
      </c>
      <c r="AX12" s="227"/>
      <c r="AY12" s="228"/>
      <c r="AZ12" s="128">
        <v>0</v>
      </c>
      <c r="BA12" s="227"/>
      <c r="BB12" s="228"/>
      <c r="BC12" s="128">
        <f>9224+1989</f>
        <v>11213</v>
      </c>
      <c r="BD12" s="128">
        <f>23399+30604+5005</f>
        <v>59008</v>
      </c>
      <c r="BE12" s="128">
        <f>7000+17000</f>
        <v>24000</v>
      </c>
      <c r="BF12" s="124">
        <v>4249336</v>
      </c>
      <c r="BG12" s="22">
        <f>291284+19800+6860+14875+29750+19800+14800+19800+154951+29750+22742+14900+14980+29950+19500+19400+39000+33953+19950+10</f>
        <v>816055</v>
      </c>
      <c r="BH12" s="227"/>
      <c r="BI12" s="228"/>
      <c r="BJ12" s="128">
        <f>46000+21000+20000+21800</f>
        <v>108800</v>
      </c>
      <c r="BK12" s="227"/>
      <c r="BL12" s="228"/>
      <c r="BM12" s="128">
        <v>0</v>
      </c>
      <c r="BN12" s="227"/>
      <c r="BO12" s="228"/>
      <c r="BP12" s="130">
        <f>17000+40000</f>
        <v>57000</v>
      </c>
      <c r="BQ12" s="227"/>
      <c r="BR12" s="231"/>
    </row>
    <row r="13" spans="1:70" s="131" customFormat="1" ht="12.75">
      <c r="A13" s="127">
        <v>1986</v>
      </c>
      <c r="B13" s="129">
        <f>9527+19294+34538+19238+38110+59217+10000+35968+19439+22284+4712</f>
        <v>272327</v>
      </c>
      <c r="C13" s="229"/>
      <c r="D13" s="230"/>
      <c r="E13" s="22">
        <f>19894+16500+14205+14750+1000</f>
        <v>66349</v>
      </c>
      <c r="F13" s="227"/>
      <c r="G13" s="228"/>
      <c r="H13" s="22">
        <f>500+6940+14543+77400+48000+88333+4000+4978+49140+34630</f>
        <v>328464</v>
      </c>
      <c r="I13" s="227"/>
      <c r="J13" s="228"/>
      <c r="K13" s="22">
        <f>19750+38000+14485+29700+14169+39348+138000+21300+57026+14818+30000+42000</f>
        <v>458596</v>
      </c>
      <c r="L13" s="227"/>
      <c r="M13" s="228"/>
      <c r="N13" s="130">
        <f>900+68149+20000+15000+9667+4400</f>
        <v>118116</v>
      </c>
      <c r="O13" s="227"/>
      <c r="P13" s="231"/>
      <c r="Q13" s="136">
        <v>0</v>
      </c>
      <c r="R13" s="227"/>
      <c r="S13" s="228"/>
      <c r="T13" s="22">
        <f>19500+19351+19500</f>
        <v>58351</v>
      </c>
      <c r="U13" s="227"/>
      <c r="V13" s="228"/>
      <c r="W13" s="22">
        <f>9471+28847</f>
        <v>38318</v>
      </c>
      <c r="X13" s="22">
        <v>0</v>
      </c>
      <c r="Y13" s="22">
        <v>0</v>
      </c>
      <c r="Z13" s="105">
        <v>5584254</v>
      </c>
      <c r="AA13" s="128">
        <v>0</v>
      </c>
      <c r="AB13" s="227"/>
      <c r="AC13" s="228"/>
      <c r="AD13" s="22">
        <f>9600+9500+9800+9663+9500+19622</f>
        <v>67685</v>
      </c>
      <c r="AE13" s="227"/>
      <c r="AF13" s="228"/>
      <c r="AG13" s="22">
        <f>100237</f>
        <v>100237</v>
      </c>
      <c r="AH13" s="22">
        <f>201196+49950</f>
        <v>251146</v>
      </c>
      <c r="AI13" s="22">
        <f>35745+15318</f>
        <v>51063</v>
      </c>
      <c r="AJ13" s="105">
        <v>0</v>
      </c>
      <c r="AK13" s="130">
        <f>9644</f>
        <v>9644</v>
      </c>
      <c r="AL13" s="227"/>
      <c r="AM13" s="231"/>
      <c r="AN13" s="144">
        <f>19598+18510+19382+29125+174849+13698+29309+13831+10000+9787</f>
        <v>338089</v>
      </c>
      <c r="AO13" s="227"/>
      <c r="AP13" s="228"/>
      <c r="AQ13" s="22">
        <f>40614+135691+14562+13950+78185+40278+3509+137184+57388+27650+94966+22649+7401+55152</f>
        <v>729179</v>
      </c>
      <c r="AR13" s="227"/>
      <c r="AS13" s="231"/>
      <c r="AT13" s="136">
        <v>0</v>
      </c>
      <c r="AU13" s="227"/>
      <c r="AV13" s="228"/>
      <c r="AW13" s="128">
        <v>0</v>
      </c>
      <c r="AX13" s="227"/>
      <c r="AY13" s="228"/>
      <c r="AZ13" s="128">
        <v>0</v>
      </c>
      <c r="BA13" s="227"/>
      <c r="BB13" s="228"/>
      <c r="BC13" s="128">
        <f>1964</f>
        <v>1964</v>
      </c>
      <c r="BD13" s="128">
        <f>5498</f>
        <v>5498</v>
      </c>
      <c r="BE13" s="128">
        <f>10000</f>
        <v>10000</v>
      </c>
      <c r="BF13" s="124">
        <v>3071128</v>
      </c>
      <c r="BG13" s="22">
        <f>16315+23694+14450+24284+16490+84465+29118+14902+14800+23200+15035+14601+14508+14878+15640+15631+20880</f>
        <v>372891</v>
      </c>
      <c r="BH13" s="227"/>
      <c r="BI13" s="228"/>
      <c r="BJ13" s="128">
        <v>0</v>
      </c>
      <c r="BK13" s="227"/>
      <c r="BL13" s="228"/>
      <c r="BM13" s="128">
        <v>0</v>
      </c>
      <c r="BN13" s="227"/>
      <c r="BO13" s="228"/>
      <c r="BP13" s="130">
        <f>24422</f>
        <v>24422</v>
      </c>
      <c r="BQ13" s="227"/>
      <c r="BR13" s="231"/>
    </row>
    <row r="14" spans="1:70" s="131" customFormat="1" ht="12.75">
      <c r="A14" s="127">
        <v>1987</v>
      </c>
      <c r="B14" s="129">
        <f>17679+14800+34364+34426+75879+73537+34260+4924+4500</f>
        <v>294369</v>
      </c>
      <c r="C14" s="229"/>
      <c r="D14" s="230"/>
      <c r="E14" s="22">
        <f>57750+14506+34600+2922+31412+4928+8310+4935+9656+4953</f>
        <v>173972</v>
      </c>
      <c r="F14" s="227"/>
      <c r="G14" s="228"/>
      <c r="H14" s="22">
        <f>39107+9900+19560+118000+99607+76500+4931+19650</f>
        <v>387255</v>
      </c>
      <c r="I14" s="227"/>
      <c r="J14" s="228"/>
      <c r="K14" s="22">
        <f>39400+18999+13124+18492+39305+77800+39625+19750+9899</f>
        <v>276394</v>
      </c>
      <c r="L14" s="227"/>
      <c r="M14" s="228"/>
      <c r="N14" s="130">
        <f>4875+82000+14000+29325+11603</f>
        <v>141803</v>
      </c>
      <c r="O14" s="227"/>
      <c r="P14" s="231"/>
      <c r="Q14" s="136">
        <f>54615+37392+500+2000</f>
        <v>94507</v>
      </c>
      <c r="R14" s="227"/>
      <c r="S14" s="228"/>
      <c r="T14" s="22">
        <f>12637+44982+19700</f>
        <v>77319</v>
      </c>
      <c r="U14" s="227"/>
      <c r="V14" s="228"/>
      <c r="W14" s="22">
        <f>28000</f>
        <v>28000</v>
      </c>
      <c r="X14" s="22">
        <v>0</v>
      </c>
      <c r="Y14" s="22">
        <v>0</v>
      </c>
      <c r="Z14" s="105">
        <v>4092865</v>
      </c>
      <c r="AA14" s="128">
        <v>0</v>
      </c>
      <c r="AB14" s="227"/>
      <c r="AC14" s="228"/>
      <c r="AD14" s="22">
        <f>9236+5937+9504+9736+9300+9714+37695+9800</f>
        <v>100922</v>
      </c>
      <c r="AE14" s="227"/>
      <c r="AF14" s="228"/>
      <c r="AG14" s="22">
        <f>14994+245072+100483+72330+16767+84691+15363</f>
        <v>549700</v>
      </c>
      <c r="AH14" s="22">
        <f>197122</f>
        <v>197122</v>
      </c>
      <c r="AI14" s="22">
        <v>0</v>
      </c>
      <c r="AJ14" s="105">
        <v>0</v>
      </c>
      <c r="AK14" s="130">
        <f>9558+9477+9700+8973+3000+24214</f>
        <v>64922</v>
      </c>
      <c r="AL14" s="227"/>
      <c r="AM14" s="231"/>
      <c r="AN14" s="144">
        <f>15000+29545+19798+29039+249330+23948+29673+19705+14958+39712+19722</f>
        <v>490430</v>
      </c>
      <c r="AO14" s="227"/>
      <c r="AP14" s="228"/>
      <c r="AQ14" s="22">
        <f>25615+50809+122000+23734+11696+88502+71154+11156+144071+54461+34465+185486+35283+11442+53994+54678+53303+63376+51935+35820+35157+35463+23621+35000</f>
        <v>1312221</v>
      </c>
      <c r="AR14" s="227"/>
      <c r="AS14" s="231"/>
      <c r="AT14" s="136">
        <v>0</v>
      </c>
      <c r="AU14" s="227"/>
      <c r="AV14" s="228"/>
      <c r="AW14" s="128">
        <v>0</v>
      </c>
      <c r="AX14" s="227"/>
      <c r="AY14" s="228"/>
      <c r="AZ14" s="128">
        <v>0</v>
      </c>
      <c r="BA14" s="227"/>
      <c r="BB14" s="228"/>
      <c r="BC14" s="128">
        <f>71357+56468+46785+51753+163219</f>
        <v>389582</v>
      </c>
      <c r="BD14" s="128">
        <f>124843</f>
        <v>124843</v>
      </c>
      <c r="BE14" s="128">
        <f>11398</f>
        <v>11398</v>
      </c>
      <c r="BF14" s="124">
        <v>477114</v>
      </c>
      <c r="BG14" s="22">
        <f>80402+6990+10870+10810+11243</f>
        <v>120315</v>
      </c>
      <c r="BH14" s="227"/>
      <c r="BI14" s="228"/>
      <c r="BJ14" s="128">
        <v>0</v>
      </c>
      <c r="BK14" s="227"/>
      <c r="BL14" s="228"/>
      <c r="BM14" s="128">
        <v>0</v>
      </c>
      <c r="BN14" s="227"/>
      <c r="BO14" s="228"/>
      <c r="BP14" s="130">
        <v>0</v>
      </c>
      <c r="BQ14" s="227"/>
      <c r="BR14" s="231"/>
    </row>
    <row r="15" spans="1:70" s="131" customFormat="1" ht="12.75">
      <c r="A15" s="127">
        <v>1988</v>
      </c>
      <c r="B15" s="129">
        <v>0</v>
      </c>
      <c r="C15" s="229"/>
      <c r="D15" s="230"/>
      <c r="E15" s="22">
        <v>0</v>
      </c>
      <c r="F15" s="227"/>
      <c r="G15" s="228"/>
      <c r="H15" s="22">
        <f>38794+28677+5708+29419+4790+14785</f>
        <v>122173</v>
      </c>
      <c r="I15" s="227"/>
      <c r="J15" s="228"/>
      <c r="K15" s="22">
        <f>28174+9246+19660+1000</f>
        <v>58080</v>
      </c>
      <c r="L15" s="227"/>
      <c r="M15" s="228"/>
      <c r="N15" s="130">
        <f>57517+9872+3725</f>
        <v>71114</v>
      </c>
      <c r="O15" s="227"/>
      <c r="P15" s="231"/>
      <c r="Q15" s="136">
        <v>0</v>
      </c>
      <c r="R15" s="227"/>
      <c r="S15" s="228"/>
      <c r="T15" s="22">
        <v>0</v>
      </c>
      <c r="U15" s="227"/>
      <c r="V15" s="228"/>
      <c r="W15" s="22">
        <v>0</v>
      </c>
      <c r="X15" s="22">
        <v>0</v>
      </c>
      <c r="Y15" s="22">
        <v>0</v>
      </c>
      <c r="Z15" s="105">
        <v>3721819</v>
      </c>
      <c r="AA15" s="128">
        <v>0</v>
      </c>
      <c r="AB15" s="227"/>
      <c r="AC15" s="228"/>
      <c r="AD15" s="22">
        <f>18849+9500+10704+9653+9745+21858+9745+22086</f>
        <v>112140</v>
      </c>
      <c r="AE15" s="227"/>
      <c r="AF15" s="228"/>
      <c r="AG15" s="22">
        <f>18503+25602</f>
        <v>44105</v>
      </c>
      <c r="AH15" s="22">
        <f>70858</f>
        <v>70858</v>
      </c>
      <c r="AI15" s="22">
        <v>0</v>
      </c>
      <c r="AJ15" s="105">
        <v>0</v>
      </c>
      <c r="AK15" s="130">
        <v>0</v>
      </c>
      <c r="AL15" s="227"/>
      <c r="AM15" s="231"/>
      <c r="AN15" s="144">
        <f>4885+4875+9866+19666</f>
        <v>39292</v>
      </c>
      <c r="AO15" s="227"/>
      <c r="AP15" s="228"/>
      <c r="AQ15" s="22">
        <f>4950+9812+9882+9683+19448+9750+9713+16525+4832+9750+4406+4648+9699+5000+9914+7217</f>
        <v>145229</v>
      </c>
      <c r="AR15" s="227"/>
      <c r="AS15" s="231"/>
      <c r="AT15" s="136">
        <v>0</v>
      </c>
      <c r="AU15" s="227"/>
      <c r="AV15" s="228"/>
      <c r="AW15" s="128">
        <v>0</v>
      </c>
      <c r="AX15" s="227"/>
      <c r="AY15" s="228"/>
      <c r="AZ15" s="128">
        <v>0</v>
      </c>
      <c r="BA15" s="227"/>
      <c r="BB15" s="228"/>
      <c r="BC15" s="128">
        <f>38380</f>
        <v>38380</v>
      </c>
      <c r="BD15" s="128">
        <v>0</v>
      </c>
      <c r="BE15" s="128">
        <f>13236+11597+44907</f>
        <v>69740</v>
      </c>
      <c r="BF15" s="124">
        <v>1117355</v>
      </c>
      <c r="BG15" s="22">
        <f>64483</f>
        <v>64483</v>
      </c>
      <c r="BH15" s="227"/>
      <c r="BI15" s="228"/>
      <c r="BJ15" s="128">
        <v>0</v>
      </c>
      <c r="BK15" s="227"/>
      <c r="BL15" s="228"/>
      <c r="BM15" s="128">
        <v>0</v>
      </c>
      <c r="BN15" s="227"/>
      <c r="BO15" s="228"/>
      <c r="BP15" s="130">
        <v>0</v>
      </c>
      <c r="BQ15" s="227"/>
      <c r="BR15" s="231"/>
    </row>
    <row r="16" spans="1:70" s="131" customFormat="1" ht="12.75">
      <c r="A16" s="127">
        <v>1989</v>
      </c>
      <c r="B16" s="129">
        <f>19180+19602+39000+2320+37369</f>
        <v>117471</v>
      </c>
      <c r="C16" s="229"/>
      <c r="D16" s="230"/>
      <c r="E16" s="22">
        <f>91750+52700+9734+33500+16196+26750+1932+28383+32600+14460+17411+28988</f>
        <v>354404</v>
      </c>
      <c r="F16" s="227"/>
      <c r="G16" s="228"/>
      <c r="H16" s="22">
        <f>29337+15000+44745+79580+86100+4945+14743</f>
        <v>274450</v>
      </c>
      <c r="I16" s="227"/>
      <c r="J16" s="228"/>
      <c r="K16" s="22">
        <f>24621+31364+76449+14504</f>
        <v>146938</v>
      </c>
      <c r="L16" s="227"/>
      <c r="M16" s="228"/>
      <c r="N16" s="130">
        <f>45995+5000+29100+2000+9800</f>
        <v>91895</v>
      </c>
      <c r="O16" s="227"/>
      <c r="P16" s="231"/>
      <c r="Q16" s="136">
        <v>0</v>
      </c>
      <c r="R16" s="227"/>
      <c r="S16" s="228"/>
      <c r="T16" s="22">
        <f>14700+60175+25800</f>
        <v>100675</v>
      </c>
      <c r="U16" s="227"/>
      <c r="V16" s="228"/>
      <c r="W16" s="22">
        <f>196+35344</f>
        <v>35540</v>
      </c>
      <c r="X16" s="22">
        <v>0</v>
      </c>
      <c r="Y16" s="22">
        <v>0</v>
      </c>
      <c r="Z16" s="105">
        <v>7970661</v>
      </c>
      <c r="AA16" s="128">
        <v>0</v>
      </c>
      <c r="AB16" s="227"/>
      <c r="AC16" s="228"/>
      <c r="AD16" s="22">
        <v>0</v>
      </c>
      <c r="AE16" s="227"/>
      <c r="AF16" s="228"/>
      <c r="AG16" s="22">
        <v>0</v>
      </c>
      <c r="AH16" s="22">
        <f>12717+7100</f>
        <v>19817</v>
      </c>
      <c r="AI16" s="22">
        <v>0</v>
      </c>
      <c r="AJ16" s="105">
        <v>0</v>
      </c>
      <c r="AK16" s="130">
        <f>2000+12141+12591+9800</f>
        <v>36532</v>
      </c>
      <c r="AL16" s="227"/>
      <c r="AM16" s="231"/>
      <c r="AN16" s="144">
        <f>13118+31802+9000+10000+37678</f>
        <v>101598</v>
      </c>
      <c r="AO16" s="227"/>
      <c r="AP16" s="228"/>
      <c r="AQ16" s="22">
        <f>9769+9789+14112+14877+10646+14821+4112</f>
        <v>78126</v>
      </c>
      <c r="AR16" s="227"/>
      <c r="AS16" s="231"/>
      <c r="AT16" s="136">
        <v>0</v>
      </c>
      <c r="AU16" s="227"/>
      <c r="AV16" s="228"/>
      <c r="AW16" s="128">
        <v>0</v>
      </c>
      <c r="AX16" s="227"/>
      <c r="AY16" s="228"/>
      <c r="AZ16" s="128">
        <f>133760+78096</f>
        <v>211856</v>
      </c>
      <c r="BA16" s="227"/>
      <c r="BB16" s="228"/>
      <c r="BC16" s="128">
        <f>109588+49454+77480+70784+43983</f>
        <v>351289</v>
      </c>
      <c r="BD16" s="128">
        <f>50400</f>
        <v>50400</v>
      </c>
      <c r="BE16" s="128">
        <f>3623+87017</f>
        <v>90640</v>
      </c>
      <c r="BF16" s="124">
        <v>1980207</v>
      </c>
      <c r="BG16" s="22">
        <f>194143+13990+92577+28747+27600+31150+95125+13217+12925+28265+28615+27475+12873+240976+58500+14079+42188</f>
        <v>962445</v>
      </c>
      <c r="BH16" s="227"/>
      <c r="BI16" s="228"/>
      <c r="BJ16" s="128">
        <v>0</v>
      </c>
      <c r="BK16" s="227"/>
      <c r="BL16" s="228"/>
      <c r="BM16" s="128">
        <v>0</v>
      </c>
      <c r="BN16" s="227"/>
      <c r="BO16" s="228"/>
      <c r="BP16" s="130">
        <v>0</v>
      </c>
      <c r="BQ16" s="227"/>
      <c r="BR16" s="231"/>
    </row>
    <row r="17" spans="1:70" s="42" customFormat="1" ht="12.75">
      <c r="A17" s="41">
        <v>1990</v>
      </c>
      <c r="B17" s="155">
        <f>37535+16000+8058+4615+4736</f>
        <v>70944</v>
      </c>
      <c r="C17" s="155">
        <v>0</v>
      </c>
      <c r="D17" s="209">
        <v>0</v>
      </c>
      <c r="E17" s="43">
        <f>45575+500+26350+19287+29288+32000+9443+17456+32997</f>
        <v>212896</v>
      </c>
      <c r="F17" s="43">
        <f>117264</f>
        <v>117264</v>
      </c>
      <c r="G17" s="103">
        <f>198885+631967</f>
        <v>830852</v>
      </c>
      <c r="H17" s="43">
        <f>9837+79334+92590+14767</f>
        <v>196528</v>
      </c>
      <c r="I17" s="43">
        <v>0</v>
      </c>
      <c r="J17" s="103">
        <f>148232+153428+709679</f>
        <v>1011339</v>
      </c>
      <c r="K17" s="43">
        <f>24495+14363</f>
        <v>38858</v>
      </c>
      <c r="L17" s="43">
        <v>0</v>
      </c>
      <c r="M17" s="103">
        <f>45459</f>
        <v>45459</v>
      </c>
      <c r="N17" s="150">
        <f>48282+28463</f>
        <v>76745</v>
      </c>
      <c r="O17" s="150">
        <v>0</v>
      </c>
      <c r="P17" s="211">
        <v>0</v>
      </c>
      <c r="Q17" s="149">
        <f>59500+9911+9812+250+19685</f>
        <v>99158</v>
      </c>
      <c r="R17" s="25">
        <f>39694</f>
        <v>39694</v>
      </c>
      <c r="S17" s="57">
        <f>301080</f>
        <v>301080</v>
      </c>
      <c r="T17" s="43">
        <f>51000+8500+17724+9682+4</f>
        <v>86910</v>
      </c>
      <c r="U17" s="43">
        <f>100334+212001+82300</f>
        <v>394635</v>
      </c>
      <c r="V17" s="103">
        <f>45618+485480+512796</f>
        <v>1043894</v>
      </c>
      <c r="W17" s="43">
        <f>27070</f>
        <v>27070</v>
      </c>
      <c r="X17" s="43">
        <v>0</v>
      </c>
      <c r="Y17" s="215">
        <v>0</v>
      </c>
      <c r="Z17" s="106">
        <v>2833986</v>
      </c>
      <c r="AA17" s="25">
        <v>0</v>
      </c>
      <c r="AB17" s="25">
        <v>0</v>
      </c>
      <c r="AC17" s="57">
        <v>0</v>
      </c>
      <c r="AD17" s="43">
        <f>419720+9452+9700+19055+9700+9000+19821+14670</f>
        <v>511118</v>
      </c>
      <c r="AE17" s="43">
        <f>50060+51389+77778</f>
        <v>179227</v>
      </c>
      <c r="AF17" s="103">
        <f>295201+151081+297980+325810+51270</f>
        <v>1121342</v>
      </c>
      <c r="AG17" s="43">
        <f>2560+110000</f>
        <v>112560</v>
      </c>
      <c r="AH17" s="43">
        <v>0</v>
      </c>
      <c r="AI17" s="153">
        <f>15453+15732+11586+21942</f>
        <v>64713</v>
      </c>
      <c r="AJ17" s="106">
        <v>0</v>
      </c>
      <c r="AK17" s="150">
        <f>60000+9570</f>
        <v>69570</v>
      </c>
      <c r="AL17" s="150">
        <v>7140</v>
      </c>
      <c r="AM17" s="211">
        <v>0</v>
      </c>
      <c r="AN17" s="160">
        <f>984+1738+5378+592+2231+8074+2523+535</f>
        <v>22055</v>
      </c>
      <c r="AO17" s="43">
        <v>0</v>
      </c>
      <c r="AP17" s="103">
        <f>7975</f>
        <v>7975</v>
      </c>
      <c r="AQ17" s="43">
        <f>8067+10072</f>
        <v>18139</v>
      </c>
      <c r="AR17" s="43">
        <v>0</v>
      </c>
      <c r="AS17" s="213">
        <f>50889+235030+139341</f>
        <v>425260</v>
      </c>
      <c r="AT17" s="149">
        <v>0</v>
      </c>
      <c r="AU17" s="25">
        <v>0</v>
      </c>
      <c r="AV17" s="57">
        <v>0</v>
      </c>
      <c r="AW17" s="25">
        <v>0</v>
      </c>
      <c r="AX17" s="25">
        <v>0</v>
      </c>
      <c r="AY17" s="57">
        <v>0</v>
      </c>
      <c r="AZ17" s="25">
        <f>6836</f>
        <v>6836</v>
      </c>
      <c r="BA17" s="25">
        <f>11340+432237+120705+2067+1004+294+294</f>
        <v>567941</v>
      </c>
      <c r="BB17" s="57">
        <f>88353+1005+2007</f>
        <v>91365</v>
      </c>
      <c r="BC17" s="25">
        <f>41192+12972+213018+10944+22085+9928+39881+22113+72743</f>
        <v>444876</v>
      </c>
      <c r="BD17" s="25">
        <f>4004</f>
        <v>4004</v>
      </c>
      <c r="BE17" s="108">
        <f>10053+21078+62084+24984</f>
        <v>118199</v>
      </c>
      <c r="BF17" s="124">
        <v>0</v>
      </c>
      <c r="BG17" s="43">
        <f>14800+143459+16591+57914+14140+16400+62360+47882+47494+14550+14580+34435+14599+200902+16500+16845</f>
        <v>733451</v>
      </c>
      <c r="BH17" s="43">
        <v>0</v>
      </c>
      <c r="BI17" s="103">
        <f>99477</f>
        <v>99477</v>
      </c>
      <c r="BJ17" s="25">
        <f>14423+22145</f>
        <v>36568</v>
      </c>
      <c r="BK17" s="25">
        <v>0</v>
      </c>
      <c r="BL17" s="57">
        <v>0</v>
      </c>
      <c r="BM17" s="25">
        <v>0</v>
      </c>
      <c r="BN17" s="25">
        <v>0</v>
      </c>
      <c r="BO17" s="57">
        <v>0</v>
      </c>
      <c r="BP17" s="150">
        <f>26000</f>
        <v>26000</v>
      </c>
      <c r="BQ17" s="150">
        <v>0</v>
      </c>
      <c r="BR17" s="211">
        <v>0</v>
      </c>
    </row>
    <row r="18" spans="1:70" s="42" customFormat="1" ht="12.75">
      <c r="A18" s="41">
        <v>1991</v>
      </c>
      <c r="B18" s="155">
        <f>38073+18000+19527+11965</f>
        <v>87565</v>
      </c>
      <c r="C18" s="155">
        <v>0</v>
      </c>
      <c r="D18" s="209">
        <v>0</v>
      </c>
      <c r="E18" s="43">
        <f>19305+48925+34700+41396+39200+14578+29851+29230</f>
        <v>257185</v>
      </c>
      <c r="F18" s="43">
        <v>0</v>
      </c>
      <c r="G18" s="103">
        <f>57190+114715+563940</f>
        <v>735845</v>
      </c>
      <c r="H18" s="43">
        <f>19758+88467+14717+29320</f>
        <v>152262</v>
      </c>
      <c r="I18" s="43">
        <v>0</v>
      </c>
      <c r="J18" s="103">
        <f>167089+176594+722883</f>
        <v>1066566</v>
      </c>
      <c r="K18" s="43">
        <v>0</v>
      </c>
      <c r="L18" s="43">
        <v>0</v>
      </c>
      <c r="M18" s="103">
        <f>44660</f>
        <v>44660</v>
      </c>
      <c r="N18" s="150">
        <f>28190+8000</f>
        <v>36190</v>
      </c>
      <c r="O18" s="150">
        <v>0</v>
      </c>
      <c r="P18" s="211">
        <v>0</v>
      </c>
      <c r="Q18" s="149">
        <v>0</v>
      </c>
      <c r="R18" s="25">
        <v>0</v>
      </c>
      <c r="S18" s="57">
        <f>505175</f>
        <v>505175</v>
      </c>
      <c r="T18" s="43">
        <v>0</v>
      </c>
      <c r="U18" s="43">
        <v>0</v>
      </c>
      <c r="V18" s="103">
        <f>50156+408292+528643</f>
        <v>987091</v>
      </c>
      <c r="W18" s="43">
        <v>0</v>
      </c>
      <c r="X18" s="43">
        <v>0</v>
      </c>
      <c r="Y18" s="153">
        <v>0</v>
      </c>
      <c r="Z18" s="103">
        <v>0</v>
      </c>
      <c r="AA18" s="25">
        <v>0</v>
      </c>
      <c r="AB18" s="25">
        <v>0</v>
      </c>
      <c r="AC18" s="57">
        <v>0</v>
      </c>
      <c r="AD18" s="43">
        <f>79485+33494+11696</f>
        <v>124675</v>
      </c>
      <c r="AE18" s="43">
        <f>305888+67707</f>
        <v>373595</v>
      </c>
      <c r="AF18" s="103">
        <f>207235+153390+244757+426162+57328</f>
        <v>1088872</v>
      </c>
      <c r="AG18" s="43">
        <f>15554+72000+120000+61451</f>
        <v>269005</v>
      </c>
      <c r="AH18" s="43">
        <f>7115</f>
        <v>7115</v>
      </c>
      <c r="AI18" s="153">
        <f>10404+2002+10984</f>
        <v>23390</v>
      </c>
      <c r="AJ18" s="106">
        <v>0</v>
      </c>
      <c r="AK18" s="150">
        <v>0</v>
      </c>
      <c r="AL18" s="150">
        <v>0</v>
      </c>
      <c r="AM18" s="211">
        <v>0</v>
      </c>
      <c r="AN18" s="160">
        <f>6595+6594+27423</f>
        <v>40612</v>
      </c>
      <c r="AO18" s="43">
        <v>0</v>
      </c>
      <c r="AP18" s="103">
        <v>0</v>
      </c>
      <c r="AQ18" s="43">
        <v>0</v>
      </c>
      <c r="AR18" s="43">
        <v>0</v>
      </c>
      <c r="AS18" s="213">
        <f>56302+227861+142470</f>
        <v>426633</v>
      </c>
      <c r="AT18" s="149">
        <v>0</v>
      </c>
      <c r="AU18" s="25">
        <v>0</v>
      </c>
      <c r="AV18" s="57">
        <v>0</v>
      </c>
      <c r="AW18" s="25">
        <v>0</v>
      </c>
      <c r="AX18" s="25">
        <v>0</v>
      </c>
      <c r="AY18" s="57">
        <v>0</v>
      </c>
      <c r="AZ18" s="25">
        <f>78090</f>
        <v>78090</v>
      </c>
      <c r="BA18" s="25">
        <f>415315+34437+100454</f>
        <v>550206</v>
      </c>
      <c r="BB18" s="57">
        <f>1778+101585</f>
        <v>103363</v>
      </c>
      <c r="BC18" s="25">
        <f>4023+9415+38373+13677+20857+5469+9290+54843+14115+9618+7584+3281</f>
        <v>190545</v>
      </c>
      <c r="BD18" s="25">
        <v>0</v>
      </c>
      <c r="BE18" s="108">
        <f>2772+1008+32960+25509</f>
        <v>62249</v>
      </c>
      <c r="BF18" s="124">
        <v>0</v>
      </c>
      <c r="BG18" s="43">
        <f>6423+101262+14874+71976+22869</f>
        <v>217404</v>
      </c>
      <c r="BH18" s="43">
        <f>32946</f>
        <v>32946</v>
      </c>
      <c r="BI18" s="103">
        <f>66694+28804</f>
        <v>95498</v>
      </c>
      <c r="BJ18" s="25">
        <f>18760+43560</f>
        <v>62320</v>
      </c>
      <c r="BK18" s="25">
        <v>0</v>
      </c>
      <c r="BL18" s="57">
        <v>0</v>
      </c>
      <c r="BM18" s="25">
        <v>0</v>
      </c>
      <c r="BN18" s="25">
        <v>0</v>
      </c>
      <c r="BO18" s="57">
        <v>0</v>
      </c>
      <c r="BP18" s="150">
        <f>1000</f>
        <v>1000</v>
      </c>
      <c r="BQ18" s="150">
        <v>0</v>
      </c>
      <c r="BR18" s="211">
        <v>0</v>
      </c>
    </row>
    <row r="19" spans="1:70" s="42" customFormat="1" ht="12.75">
      <c r="A19" s="41">
        <v>1992</v>
      </c>
      <c r="B19" s="155">
        <v>0</v>
      </c>
      <c r="C19" s="25">
        <f>53913</f>
        <v>53913</v>
      </c>
      <c r="D19" s="209">
        <v>0</v>
      </c>
      <c r="E19" s="43">
        <v>0</v>
      </c>
      <c r="F19" s="43">
        <v>0</v>
      </c>
      <c r="G19" s="103">
        <f>832351</f>
        <v>832351</v>
      </c>
      <c r="H19" s="43">
        <v>0</v>
      </c>
      <c r="I19" s="43">
        <v>0</v>
      </c>
      <c r="J19" s="208">
        <f>141503+179750+630346+0+86342+243772</f>
        <v>1281713</v>
      </c>
      <c r="K19" s="43">
        <v>0</v>
      </c>
      <c r="L19" s="43">
        <v>0</v>
      </c>
      <c r="M19" s="103">
        <f>42824</f>
        <v>42824</v>
      </c>
      <c r="N19" s="150">
        <v>29193</v>
      </c>
      <c r="O19" s="150">
        <v>0</v>
      </c>
      <c r="P19" s="211">
        <v>0</v>
      </c>
      <c r="Q19" s="149">
        <f>47641+9904+9750+28675</f>
        <v>95970</v>
      </c>
      <c r="R19" s="25">
        <v>0</v>
      </c>
      <c r="S19" s="57">
        <f>255933</f>
        <v>255933</v>
      </c>
      <c r="T19" s="43">
        <f>17563+181+12146</f>
        <v>29890</v>
      </c>
      <c r="U19" s="43">
        <f>77069</f>
        <v>77069</v>
      </c>
      <c r="V19" s="103">
        <f>51643+100048+221765+403046</f>
        <v>776502</v>
      </c>
      <c r="W19" s="43">
        <f>8831+28100</f>
        <v>36931</v>
      </c>
      <c r="X19" s="43">
        <v>0</v>
      </c>
      <c r="Y19" s="153">
        <v>0</v>
      </c>
      <c r="Z19" s="103">
        <v>0</v>
      </c>
      <c r="AA19" s="25">
        <v>0</v>
      </c>
      <c r="AB19" s="25">
        <v>0</v>
      </c>
      <c r="AC19" s="57">
        <v>0</v>
      </c>
      <c r="AD19" s="43">
        <f>322501+19735+190+19112+14720</f>
        <v>376258</v>
      </c>
      <c r="AE19" s="43">
        <f>100230+206041</f>
        <v>306271</v>
      </c>
      <c r="AF19" s="103">
        <f>204149+637721+99306+51979+51649+453657</f>
        <v>1498461</v>
      </c>
      <c r="AG19" s="43">
        <v>0</v>
      </c>
      <c r="AH19" s="43">
        <v>0</v>
      </c>
      <c r="AI19" s="153">
        <f>50775+12860+13795+33505+14390</f>
        <v>125325</v>
      </c>
      <c r="AJ19" s="106">
        <v>0</v>
      </c>
      <c r="AK19" s="150">
        <f>60000+9645</f>
        <v>69645</v>
      </c>
      <c r="AL19" s="150">
        <v>0</v>
      </c>
      <c r="AM19" s="211">
        <v>0</v>
      </c>
      <c r="AN19" s="160">
        <f>8454</f>
        <v>8454</v>
      </c>
      <c r="AO19" s="43">
        <v>0</v>
      </c>
      <c r="AP19" s="103">
        <f>29342</f>
        <v>29342</v>
      </c>
      <c r="AQ19" s="43">
        <f>24668+29484+21500+24651+39032+14644+85379+48487+24637+19489+19355</f>
        <v>351326</v>
      </c>
      <c r="AR19" s="43">
        <v>0</v>
      </c>
      <c r="AS19" s="213">
        <f>60661+73211+155193</f>
        <v>289065</v>
      </c>
      <c r="AT19" s="149">
        <v>0</v>
      </c>
      <c r="AU19" s="25">
        <v>0</v>
      </c>
      <c r="AV19" s="57">
        <v>0</v>
      </c>
      <c r="AW19" s="25">
        <v>0</v>
      </c>
      <c r="AX19" s="25">
        <v>0</v>
      </c>
      <c r="AY19" s="57">
        <v>0</v>
      </c>
      <c r="AZ19" s="25">
        <f>134141</f>
        <v>134141</v>
      </c>
      <c r="BA19" s="25">
        <f>232129+36952+14381</f>
        <v>283462</v>
      </c>
      <c r="BB19" s="57">
        <f>81352+4743</f>
        <v>86095</v>
      </c>
      <c r="BC19" s="25">
        <f>80233+14758+52862+71861+32021+11053</f>
        <v>262788</v>
      </c>
      <c r="BD19" s="25">
        <v>0</v>
      </c>
      <c r="BE19" s="108">
        <f>6888+22510+48500+31005</f>
        <v>108903</v>
      </c>
      <c r="BF19" s="124">
        <v>0</v>
      </c>
      <c r="BG19" s="43">
        <f>83514+9633+70193+25161+61974+3124+26822</f>
        <v>280421</v>
      </c>
      <c r="BH19" s="43">
        <f>9840</f>
        <v>9840</v>
      </c>
      <c r="BI19" s="103">
        <f>25706+48585+45748</f>
        <v>120039</v>
      </c>
      <c r="BJ19" s="25">
        <f>14393+37124</f>
        <v>51517</v>
      </c>
      <c r="BK19" s="25">
        <v>0</v>
      </c>
      <c r="BL19" s="57">
        <v>0</v>
      </c>
      <c r="BM19" s="25">
        <v>0</v>
      </c>
      <c r="BN19" s="25">
        <v>0</v>
      </c>
      <c r="BO19" s="57">
        <v>0</v>
      </c>
      <c r="BP19" s="150">
        <f>1528</f>
        <v>1528</v>
      </c>
      <c r="BQ19" s="150">
        <v>0</v>
      </c>
      <c r="BR19" s="211">
        <v>0</v>
      </c>
    </row>
    <row r="20" spans="1:70" s="42" customFormat="1" ht="12.75">
      <c r="A20" s="41">
        <v>1993</v>
      </c>
      <c r="B20" s="155">
        <v>0</v>
      </c>
      <c r="C20" s="155">
        <v>0</v>
      </c>
      <c r="D20" s="209">
        <v>0</v>
      </c>
      <c r="E20" s="43">
        <v>0</v>
      </c>
      <c r="F20" s="43">
        <v>0</v>
      </c>
      <c r="G20" s="103">
        <f>130030+65065+565166</f>
        <v>760261</v>
      </c>
      <c r="H20" s="43">
        <f>81384</f>
        <v>81384</v>
      </c>
      <c r="I20" s="43">
        <v>0</v>
      </c>
      <c r="J20" s="208">
        <f>143082+154182+477191+0+110954+205942</f>
        <v>1091351</v>
      </c>
      <c r="K20" s="43">
        <v>0</v>
      </c>
      <c r="L20" s="43">
        <v>0</v>
      </c>
      <c r="M20" s="103">
        <v>0</v>
      </c>
      <c r="N20" s="150">
        <v>26900</v>
      </c>
      <c r="O20" s="150">
        <v>0</v>
      </c>
      <c r="P20" s="211">
        <v>0</v>
      </c>
      <c r="Q20" s="149">
        <f>245634+9981+9950</f>
        <v>265565</v>
      </c>
      <c r="R20" s="25">
        <v>0</v>
      </c>
      <c r="S20" s="57">
        <f>405164</f>
        <v>405164</v>
      </c>
      <c r="T20" s="43">
        <f>100</f>
        <v>100</v>
      </c>
      <c r="U20" s="43">
        <v>0</v>
      </c>
      <c r="V20" s="103">
        <f>50689+121250+202253+371014</f>
        <v>745206</v>
      </c>
      <c r="W20" s="43">
        <f>40+240+92</f>
        <v>372</v>
      </c>
      <c r="X20" s="43">
        <v>0</v>
      </c>
      <c r="Y20" s="153">
        <v>0</v>
      </c>
      <c r="Z20" s="103">
        <v>0</v>
      </c>
      <c r="AA20" s="25">
        <v>0</v>
      </c>
      <c r="AB20" s="25">
        <v>0</v>
      </c>
      <c r="AC20" s="57">
        <v>0</v>
      </c>
      <c r="AD20" s="43">
        <f>234878+98+19620+134</f>
        <v>254730</v>
      </c>
      <c r="AE20" s="43">
        <f>28080+97432</f>
        <v>125512</v>
      </c>
      <c r="AF20" s="103">
        <f>148951+141679+239805+410870+8197</f>
        <v>949502</v>
      </c>
      <c r="AG20" s="43">
        <f>1500</f>
        <v>1500</v>
      </c>
      <c r="AH20" s="43">
        <f>9752+15840+4167+13223+9696</f>
        <v>52678</v>
      </c>
      <c r="AI20" s="153">
        <f>4157+2080+21362+23343</f>
        <v>50942</v>
      </c>
      <c r="AJ20" s="106">
        <v>0</v>
      </c>
      <c r="AK20" s="150">
        <f>93+93</f>
        <v>186</v>
      </c>
      <c r="AL20" s="150">
        <v>0</v>
      </c>
      <c r="AM20" s="211">
        <v>0</v>
      </c>
      <c r="AN20" s="160">
        <f>14500</f>
        <v>14500</v>
      </c>
      <c r="AO20" s="43">
        <v>0</v>
      </c>
      <c r="AP20" s="103">
        <v>12201</v>
      </c>
      <c r="AQ20" s="43">
        <f>28867+98248+22312+28906+38054+16261+491+23040+55379+491+36246+12568+26701+90725+16457</f>
        <v>494746</v>
      </c>
      <c r="AR20" s="43">
        <v>21140</v>
      </c>
      <c r="AS20" s="213">
        <f>65245+66989+153598</f>
        <v>285832</v>
      </c>
      <c r="AT20" s="149">
        <v>0</v>
      </c>
      <c r="AU20" s="25">
        <v>0</v>
      </c>
      <c r="AV20" s="57">
        <v>0</v>
      </c>
      <c r="AW20" s="25">
        <v>0</v>
      </c>
      <c r="AX20" s="25">
        <v>0</v>
      </c>
      <c r="AY20" s="57">
        <v>2013</v>
      </c>
      <c r="AZ20" s="25">
        <f>38052</f>
        <v>38052</v>
      </c>
      <c r="BA20" s="25">
        <f>245012</f>
        <v>245012</v>
      </c>
      <c r="BB20" s="57">
        <f>120978</f>
        <v>120978</v>
      </c>
      <c r="BC20" s="25">
        <f>18560+20078+18728+47123+27139+19576</f>
        <v>151204</v>
      </c>
      <c r="BD20" s="25">
        <v>0</v>
      </c>
      <c r="BE20" s="108">
        <f>6022+12494+86030</f>
        <v>104546</v>
      </c>
      <c r="BF20" s="124">
        <v>0</v>
      </c>
      <c r="BG20" s="43">
        <f>8225+79635+4680+4813</f>
        <v>97353</v>
      </c>
      <c r="BH20" s="43">
        <f>15028</f>
        <v>15028</v>
      </c>
      <c r="BI20" s="103">
        <f>33934+9996</f>
        <v>43930</v>
      </c>
      <c r="BJ20" s="25">
        <v>0</v>
      </c>
      <c r="BK20" s="25">
        <v>0</v>
      </c>
      <c r="BL20" s="57">
        <v>0</v>
      </c>
      <c r="BM20" s="25">
        <v>0</v>
      </c>
      <c r="BN20" s="25">
        <v>0</v>
      </c>
      <c r="BO20" s="57">
        <v>0</v>
      </c>
      <c r="BP20" s="150">
        <f>15083</f>
        <v>15083</v>
      </c>
      <c r="BQ20" s="150">
        <v>0</v>
      </c>
      <c r="BR20" s="211">
        <v>0</v>
      </c>
    </row>
    <row r="21" spans="1:70" s="42" customFormat="1" ht="12.75">
      <c r="A21" s="41">
        <v>1994</v>
      </c>
      <c r="B21" s="155">
        <v>0</v>
      </c>
      <c r="C21" s="155">
        <v>0</v>
      </c>
      <c r="D21" s="209">
        <v>0</v>
      </c>
      <c r="E21" s="43">
        <v>0</v>
      </c>
      <c r="F21" s="43">
        <v>0</v>
      </c>
      <c r="G21" s="103">
        <v>839514</v>
      </c>
      <c r="H21" s="43">
        <v>0</v>
      </c>
      <c r="I21" s="43">
        <v>0</v>
      </c>
      <c r="J21" s="103">
        <f>205293+202259+844161</f>
        <v>1251713</v>
      </c>
      <c r="K21" s="43">
        <v>0</v>
      </c>
      <c r="L21" s="43">
        <v>0</v>
      </c>
      <c r="M21" s="103">
        <v>0</v>
      </c>
      <c r="N21" s="150">
        <v>29855</v>
      </c>
      <c r="O21" s="150">
        <v>0</v>
      </c>
      <c r="P21" s="211">
        <v>0</v>
      </c>
      <c r="Q21" s="149">
        <f>9919</f>
        <v>9919</v>
      </c>
      <c r="R21" s="25">
        <v>0</v>
      </c>
      <c r="S21" s="57">
        <f>403118</f>
        <v>403118</v>
      </c>
      <c r="T21" s="43">
        <f>9300+18460+66+4107+95</f>
        <v>32028</v>
      </c>
      <c r="U21" s="43">
        <f>203214</f>
        <v>203214</v>
      </c>
      <c r="V21" s="103">
        <f>50084+350408+420338+792</f>
        <v>821622</v>
      </c>
      <c r="W21" s="43">
        <f>4300+6716+93+94</f>
        <v>11203</v>
      </c>
      <c r="X21" s="43">
        <v>0</v>
      </c>
      <c r="Y21" s="153">
        <v>0</v>
      </c>
      <c r="Z21" s="103">
        <v>0</v>
      </c>
      <c r="AA21" s="25">
        <v>0</v>
      </c>
      <c r="AB21" s="25">
        <v>0</v>
      </c>
      <c r="AC21" s="57">
        <v>0</v>
      </c>
      <c r="AD21" s="43">
        <f>90+9476+94</f>
        <v>9660</v>
      </c>
      <c r="AE21" s="43">
        <v>0</v>
      </c>
      <c r="AF21" s="103">
        <f>146846+246531+244564+290763+93370</f>
        <v>1022074</v>
      </c>
      <c r="AG21" s="43">
        <v>0</v>
      </c>
      <c r="AH21" s="43">
        <f>24048+7336+1905+810+1643+1664+1314+3400</f>
        <v>42120</v>
      </c>
      <c r="AI21" s="153">
        <f>19140+23508+5100+17810</f>
        <v>65558</v>
      </c>
      <c r="AJ21" s="106">
        <v>0</v>
      </c>
      <c r="AK21" s="150">
        <f>79050+4871+96</f>
        <v>84017</v>
      </c>
      <c r="AL21" s="150">
        <v>20000</v>
      </c>
      <c r="AM21" s="211">
        <v>0</v>
      </c>
      <c r="AN21" s="160">
        <f>59294+47529</f>
        <v>106823</v>
      </c>
      <c r="AO21" s="43">
        <v>0</v>
      </c>
      <c r="AP21" s="103">
        <v>5515</v>
      </c>
      <c r="AQ21" s="43">
        <f>38045+16325+41911+119405+32377+23541+23250+17227+14730+27515+490+27659+1688+59250+31691+7453</f>
        <v>482557</v>
      </c>
      <c r="AR21" s="43">
        <v>0</v>
      </c>
      <c r="AS21" s="213">
        <f>54020+11095+64138+149140</f>
        <v>278393</v>
      </c>
      <c r="AT21" s="149">
        <v>0</v>
      </c>
      <c r="AU21" s="25">
        <v>0</v>
      </c>
      <c r="AV21" s="57">
        <v>0</v>
      </c>
      <c r="AW21" s="25">
        <v>0</v>
      </c>
      <c r="AX21" s="25">
        <v>0</v>
      </c>
      <c r="AY21" s="57">
        <v>2000</v>
      </c>
      <c r="AZ21" s="25">
        <v>0</v>
      </c>
      <c r="BA21" s="25">
        <v>0</v>
      </c>
      <c r="BB21" s="57">
        <f>122785</f>
        <v>122785</v>
      </c>
      <c r="BC21" s="25">
        <f>3620+215105+50863+23677</f>
        <v>293265</v>
      </c>
      <c r="BD21" s="25">
        <v>0</v>
      </c>
      <c r="BE21" s="108">
        <f>299+57158+41836</f>
        <v>99293</v>
      </c>
      <c r="BF21" s="124">
        <v>0</v>
      </c>
      <c r="BG21" s="43">
        <f>100972+9271</f>
        <v>110243</v>
      </c>
      <c r="BH21" s="43">
        <f>50745</f>
        <v>50745</v>
      </c>
      <c r="BI21" s="103">
        <f>39195+9958</f>
        <v>49153</v>
      </c>
      <c r="BJ21" s="25">
        <f>34000</f>
        <v>34000</v>
      </c>
      <c r="BK21" s="25">
        <v>0</v>
      </c>
      <c r="BL21" s="57">
        <v>0</v>
      </c>
      <c r="BM21" s="25">
        <v>0</v>
      </c>
      <c r="BN21" s="25">
        <v>0</v>
      </c>
      <c r="BO21" s="57">
        <v>0</v>
      </c>
      <c r="BP21" s="150">
        <f>40000</f>
        <v>40000</v>
      </c>
      <c r="BQ21" s="150">
        <v>0</v>
      </c>
      <c r="BR21" s="211">
        <v>0</v>
      </c>
    </row>
    <row r="22" spans="1:70" s="42" customFormat="1" ht="12.75">
      <c r="A22" s="41">
        <v>1995</v>
      </c>
      <c r="B22" s="155">
        <v>0</v>
      </c>
      <c r="C22" s="155">
        <v>0</v>
      </c>
      <c r="D22" s="209">
        <v>0</v>
      </c>
      <c r="E22" s="43">
        <f>175</f>
        <v>175</v>
      </c>
      <c r="F22" s="43">
        <v>0</v>
      </c>
      <c r="G22" s="103">
        <v>789984</v>
      </c>
      <c r="H22" s="43">
        <v>0</v>
      </c>
      <c r="I22" s="43">
        <v>0</v>
      </c>
      <c r="J22" s="103">
        <f>216801</f>
        <v>216801</v>
      </c>
      <c r="K22" s="43">
        <v>0</v>
      </c>
      <c r="L22" s="43">
        <v>0</v>
      </c>
      <c r="M22" s="103">
        <v>0</v>
      </c>
      <c r="N22" s="150">
        <v>29700</v>
      </c>
      <c r="O22" s="150">
        <v>0</v>
      </c>
      <c r="P22" s="211">
        <v>0</v>
      </c>
      <c r="Q22" s="149">
        <v>0</v>
      </c>
      <c r="R22" s="25">
        <v>0</v>
      </c>
      <c r="S22" s="57">
        <f>316281</f>
        <v>316281</v>
      </c>
      <c r="T22" s="43">
        <f>1375</f>
        <v>1375</v>
      </c>
      <c r="U22" s="43">
        <v>0</v>
      </c>
      <c r="V22" s="103">
        <f>49784+262263+700</f>
        <v>312747</v>
      </c>
      <c r="W22" s="43">
        <v>0</v>
      </c>
      <c r="X22" s="43">
        <v>0</v>
      </c>
      <c r="Y22" s="153">
        <f>306402</f>
        <v>306402</v>
      </c>
      <c r="Z22" s="103">
        <v>0</v>
      </c>
      <c r="AA22" s="25">
        <v>0</v>
      </c>
      <c r="AB22" s="25">
        <v>0</v>
      </c>
      <c r="AC22" s="57">
        <v>0</v>
      </c>
      <c r="AD22" s="43">
        <v>0</v>
      </c>
      <c r="AE22" s="43">
        <v>0</v>
      </c>
      <c r="AF22" s="103">
        <f>148851+299310+198863+399259</f>
        <v>1046283</v>
      </c>
      <c r="AG22" s="43">
        <v>0</v>
      </c>
      <c r="AH22" s="162">
        <f>0+8862</f>
        <v>8862</v>
      </c>
      <c r="AI22" s="153">
        <f>54407</f>
        <v>54407</v>
      </c>
      <c r="AJ22" s="106">
        <v>0</v>
      </c>
      <c r="AK22" s="150">
        <f>21500+1988</f>
        <v>23488</v>
      </c>
      <c r="AL22" s="150">
        <v>20200</v>
      </c>
      <c r="AM22" s="211">
        <v>0</v>
      </c>
      <c r="AN22" s="160">
        <f>44331+29344+101338+14845</f>
        <v>189858</v>
      </c>
      <c r="AO22" s="43">
        <v>0</v>
      </c>
      <c r="AP22" s="103">
        <v>14915</v>
      </c>
      <c r="AQ22" s="43">
        <f>39319+5000+29326+97833+30889+58107+14719+14324+28981+59685</f>
        <v>378183</v>
      </c>
      <c r="AR22" s="43">
        <v>18208</v>
      </c>
      <c r="AS22" s="213">
        <f>60826+69327+132493</f>
        <v>262646</v>
      </c>
      <c r="AT22" s="149">
        <v>0</v>
      </c>
      <c r="AU22" s="25">
        <v>0</v>
      </c>
      <c r="AV22" s="57">
        <v>0</v>
      </c>
      <c r="AW22" s="25">
        <v>0</v>
      </c>
      <c r="AX22" s="25">
        <v>0</v>
      </c>
      <c r="AY22" s="57">
        <v>0</v>
      </c>
      <c r="AZ22" s="25">
        <v>0</v>
      </c>
      <c r="BA22" s="25">
        <v>0</v>
      </c>
      <c r="BB22" s="57">
        <v>0</v>
      </c>
      <c r="BC22" s="25">
        <f>142812+115281+23145+93310+2088</f>
        <v>376636</v>
      </c>
      <c r="BD22" s="25">
        <f>16250</f>
        <v>16250</v>
      </c>
      <c r="BE22" s="108">
        <f>9216+61655</f>
        <v>70871</v>
      </c>
      <c r="BF22" s="124">
        <v>0</v>
      </c>
      <c r="BG22" s="43">
        <f>10214</f>
        <v>10214</v>
      </c>
      <c r="BH22" s="43">
        <v>0</v>
      </c>
      <c r="BI22" s="103">
        <f>96986+93545</f>
        <v>190531</v>
      </c>
      <c r="BJ22" s="25">
        <v>0</v>
      </c>
      <c r="BK22" s="25">
        <v>0</v>
      </c>
      <c r="BL22" s="57">
        <v>0</v>
      </c>
      <c r="BM22" s="25">
        <v>0</v>
      </c>
      <c r="BN22" s="25">
        <v>0</v>
      </c>
      <c r="BO22" s="57">
        <v>0</v>
      </c>
      <c r="BP22" s="150">
        <v>0</v>
      </c>
      <c r="BQ22" s="150">
        <v>0</v>
      </c>
      <c r="BR22" s="211">
        <v>0</v>
      </c>
    </row>
    <row r="23" spans="1:70" s="42" customFormat="1" ht="12.75">
      <c r="A23" s="41">
        <v>1996</v>
      </c>
      <c r="B23" s="155">
        <v>0</v>
      </c>
      <c r="C23" s="155">
        <v>0</v>
      </c>
      <c r="D23" s="209">
        <v>0</v>
      </c>
      <c r="E23" s="43">
        <v>0</v>
      </c>
      <c r="F23" s="43">
        <v>0</v>
      </c>
      <c r="G23" s="103">
        <f>636519</f>
        <v>636519</v>
      </c>
      <c r="H23" s="43">
        <v>0</v>
      </c>
      <c r="I23" s="43">
        <v>0</v>
      </c>
      <c r="J23" s="103">
        <f>201098</f>
        <v>201098</v>
      </c>
      <c r="K23" s="43">
        <v>0</v>
      </c>
      <c r="L23" s="43">
        <v>0</v>
      </c>
      <c r="M23" s="103">
        <v>0</v>
      </c>
      <c r="N23" s="150">
        <v>28341</v>
      </c>
      <c r="O23" s="150">
        <v>0</v>
      </c>
      <c r="P23" s="211">
        <v>0</v>
      </c>
      <c r="Q23" s="149">
        <v>0</v>
      </c>
      <c r="R23" s="25">
        <v>0</v>
      </c>
      <c r="S23" s="57">
        <f>322200</f>
        <v>322200</v>
      </c>
      <c r="T23" s="43">
        <f>1955+90+90+90</f>
        <v>2225</v>
      </c>
      <c r="U23" s="43">
        <v>0</v>
      </c>
      <c r="V23" s="103">
        <f>12803+12418+12075+12753+600</f>
        <v>50649</v>
      </c>
      <c r="W23" s="43">
        <f>90</f>
        <v>90</v>
      </c>
      <c r="X23" s="43">
        <v>0</v>
      </c>
      <c r="Y23" s="153">
        <f>263167+226165</f>
        <v>489332</v>
      </c>
      <c r="Z23" s="103">
        <v>0</v>
      </c>
      <c r="AA23" s="25">
        <v>0</v>
      </c>
      <c r="AB23" s="25">
        <v>0</v>
      </c>
      <c r="AC23" s="57">
        <v>0</v>
      </c>
      <c r="AD23" s="43">
        <f>133</f>
        <v>133</v>
      </c>
      <c r="AE23" s="43">
        <v>0</v>
      </c>
      <c r="AF23" s="103">
        <v>1010036</v>
      </c>
      <c r="AG23" s="43">
        <f>3000+43600</f>
        <v>46600</v>
      </c>
      <c r="AH23" s="43">
        <f>97+45501+194+37+10+37+232</f>
        <v>46108</v>
      </c>
      <c r="AI23" s="153">
        <f>34898+13860</f>
        <v>48758</v>
      </c>
      <c r="AJ23" s="106">
        <v>0</v>
      </c>
      <c r="AK23" s="150">
        <f>1750+1900+90</f>
        <v>3740</v>
      </c>
      <c r="AL23" s="150">
        <v>0</v>
      </c>
      <c r="AM23" s="211">
        <v>0</v>
      </c>
      <c r="AN23" s="160">
        <f>46149+46152</f>
        <v>92301</v>
      </c>
      <c r="AO23" s="43">
        <v>0</v>
      </c>
      <c r="AP23" s="103">
        <v>10438</v>
      </c>
      <c r="AQ23" s="43">
        <f>4598+9853+48233+167001+47644+25664+46029+38154+42043</f>
        <v>429219</v>
      </c>
      <c r="AR23" s="43">
        <v>0</v>
      </c>
      <c r="AS23" s="213">
        <f>63164+60203+153818</f>
        <v>277185</v>
      </c>
      <c r="AT23" s="149">
        <v>0</v>
      </c>
      <c r="AU23" s="25">
        <v>0</v>
      </c>
      <c r="AV23" s="57">
        <v>0</v>
      </c>
      <c r="AW23" s="25">
        <v>0</v>
      </c>
      <c r="AX23" s="25">
        <v>0</v>
      </c>
      <c r="AY23" s="57">
        <v>0</v>
      </c>
      <c r="AZ23" s="25">
        <v>0</v>
      </c>
      <c r="BA23" s="25">
        <v>0</v>
      </c>
      <c r="BB23" s="57">
        <v>0</v>
      </c>
      <c r="BC23" s="25">
        <f>6971+120700+60977+134849</f>
        <v>323497</v>
      </c>
      <c r="BD23" s="25">
        <v>0</v>
      </c>
      <c r="BE23" s="108">
        <f>10333+54965</f>
        <v>65298</v>
      </c>
      <c r="BF23" s="124">
        <v>0</v>
      </c>
      <c r="BG23" s="43">
        <f>2480</f>
        <v>2480</v>
      </c>
      <c r="BH23" s="43">
        <v>0</v>
      </c>
      <c r="BI23" s="103">
        <f>21620+23575</f>
        <v>45195</v>
      </c>
      <c r="BJ23" s="25">
        <v>0</v>
      </c>
      <c r="BK23" s="25">
        <v>0</v>
      </c>
      <c r="BL23" s="57">
        <v>0</v>
      </c>
      <c r="BM23" s="25">
        <v>0</v>
      </c>
      <c r="BN23" s="25">
        <v>0</v>
      </c>
      <c r="BO23" s="57">
        <v>0</v>
      </c>
      <c r="BP23" s="150">
        <v>0</v>
      </c>
      <c r="BQ23" s="150">
        <v>0</v>
      </c>
      <c r="BR23" s="211">
        <v>0</v>
      </c>
    </row>
    <row r="24" spans="1:70" s="42" customFormat="1" ht="12.75">
      <c r="A24" s="44">
        <v>1997</v>
      </c>
      <c r="B24" s="156">
        <v>0</v>
      </c>
      <c r="C24" s="156">
        <v>0</v>
      </c>
      <c r="D24" s="210">
        <v>0</v>
      </c>
      <c r="E24" s="151">
        <v>0</v>
      </c>
      <c r="F24" s="151">
        <v>0</v>
      </c>
      <c r="G24" s="104">
        <f>139720+489287</f>
        <v>629007</v>
      </c>
      <c r="H24" s="151">
        <v>0</v>
      </c>
      <c r="I24" s="151">
        <v>0</v>
      </c>
      <c r="J24" s="104">
        <f>144533</f>
        <v>144533</v>
      </c>
      <c r="K24" s="151">
        <v>0</v>
      </c>
      <c r="L24" s="151">
        <v>0</v>
      </c>
      <c r="M24" s="104">
        <v>0</v>
      </c>
      <c r="N24" s="152">
        <v>26729</v>
      </c>
      <c r="O24" s="152">
        <v>0</v>
      </c>
      <c r="P24" s="212">
        <v>0</v>
      </c>
      <c r="Q24" s="158">
        <v>0</v>
      </c>
      <c r="R24" s="97">
        <v>0</v>
      </c>
      <c r="S24" s="98">
        <f>200206</f>
        <v>200206</v>
      </c>
      <c r="T24" s="151">
        <f>1800+1490+500</f>
        <v>3790</v>
      </c>
      <c r="U24" s="151">
        <v>0</v>
      </c>
      <c r="V24" s="104">
        <f>12759+12271+25146</f>
        <v>50176</v>
      </c>
      <c r="W24" s="151">
        <v>0</v>
      </c>
      <c r="X24" s="151">
        <v>0</v>
      </c>
      <c r="Y24" s="151">
        <f>360367</f>
        <v>360367</v>
      </c>
      <c r="Z24" s="104">
        <v>0</v>
      </c>
      <c r="AA24" s="97">
        <v>0</v>
      </c>
      <c r="AB24" s="97">
        <v>0</v>
      </c>
      <c r="AC24" s="98">
        <v>0</v>
      </c>
      <c r="AD24" s="151">
        <v>0</v>
      </c>
      <c r="AE24" s="151">
        <v>0</v>
      </c>
      <c r="AF24" s="104">
        <f>148000+250214+278000+300260+26595</f>
        <v>1003069</v>
      </c>
      <c r="AG24" s="151">
        <f>47890+119+90+119+66+244+111+139+101+207</f>
        <v>49086</v>
      </c>
      <c r="AH24" s="151">
        <f>3400+30454+3400+113540</f>
        <v>150794</v>
      </c>
      <c r="AI24" s="151">
        <f>25515+20155</f>
        <v>45670</v>
      </c>
      <c r="AJ24" s="107">
        <v>0</v>
      </c>
      <c r="AK24" s="152">
        <f>15000+1800+90</f>
        <v>16890</v>
      </c>
      <c r="AL24" s="152">
        <v>0</v>
      </c>
      <c r="AM24" s="212">
        <v>0</v>
      </c>
      <c r="AN24" s="161">
        <f>97+98</f>
        <v>195</v>
      </c>
      <c r="AO24" s="151">
        <v>0</v>
      </c>
      <c r="AP24" s="104">
        <v>12674</v>
      </c>
      <c r="AQ24" s="151">
        <f>877+25792+18340+98+96+95+98+97+94+96+98+99+99+100+287+94+98+198+97</f>
        <v>46853</v>
      </c>
      <c r="AR24" s="151">
        <v>0</v>
      </c>
      <c r="AS24" s="214">
        <f>67610+66396+131077</f>
        <v>265083</v>
      </c>
      <c r="AT24" s="158">
        <v>0</v>
      </c>
      <c r="AU24" s="97">
        <v>1500</v>
      </c>
      <c r="AV24" s="98">
        <v>0</v>
      </c>
      <c r="AW24" s="97">
        <v>0</v>
      </c>
      <c r="AX24" s="97">
        <v>0</v>
      </c>
      <c r="AY24" s="98">
        <v>0</v>
      </c>
      <c r="AZ24" s="97">
        <v>0</v>
      </c>
      <c r="BA24" s="97">
        <v>0</v>
      </c>
      <c r="BB24" s="98">
        <v>0</v>
      </c>
      <c r="BC24" s="97">
        <f>4765+40025+84692</f>
        <v>129482</v>
      </c>
      <c r="BD24" s="97">
        <v>0</v>
      </c>
      <c r="BE24" s="97">
        <f>70540</f>
        <v>70540</v>
      </c>
      <c r="BF24" s="125">
        <v>0</v>
      </c>
      <c r="BG24" s="151">
        <f>299937+65534+14151</f>
        <v>379622</v>
      </c>
      <c r="BH24" s="151">
        <f>30906</f>
        <v>30906</v>
      </c>
      <c r="BI24" s="104">
        <f>14994+11305</f>
        <v>26299</v>
      </c>
      <c r="BJ24" s="97">
        <f>16170</f>
        <v>16170</v>
      </c>
      <c r="BK24" s="97">
        <v>0</v>
      </c>
      <c r="BL24" s="98">
        <v>0</v>
      </c>
      <c r="BM24" s="97">
        <v>0</v>
      </c>
      <c r="BN24" s="97">
        <v>0</v>
      </c>
      <c r="BO24" s="98">
        <v>0</v>
      </c>
      <c r="BP24" s="152">
        <v>0</v>
      </c>
      <c r="BQ24" s="152">
        <v>0</v>
      </c>
      <c r="BR24" s="212">
        <v>0</v>
      </c>
    </row>
    <row r="25" spans="1:70" s="42" customFormat="1" ht="12.75">
      <c r="A25" s="41">
        <v>1998</v>
      </c>
      <c r="B25" s="155">
        <v>0</v>
      </c>
      <c r="C25" s="25">
        <v>24725</v>
      </c>
      <c r="D25" s="209">
        <v>0</v>
      </c>
      <c r="E25" s="43">
        <v>0</v>
      </c>
      <c r="F25" s="43">
        <v>0</v>
      </c>
      <c r="G25" s="103">
        <v>192645</v>
      </c>
      <c r="H25" s="43">
        <v>0</v>
      </c>
      <c r="I25" s="43">
        <v>0</v>
      </c>
      <c r="J25" s="103">
        <f>212525</f>
        <v>212525</v>
      </c>
      <c r="K25" s="43">
        <v>0</v>
      </c>
      <c r="L25" s="43">
        <v>0</v>
      </c>
      <c r="M25" s="103">
        <v>0</v>
      </c>
      <c r="N25" s="150">
        <v>23529</v>
      </c>
      <c r="O25" s="150">
        <v>0</v>
      </c>
      <c r="P25" s="211">
        <v>0</v>
      </c>
      <c r="Q25" s="149">
        <v>0</v>
      </c>
      <c r="R25" s="25">
        <v>0</v>
      </c>
      <c r="S25" s="57">
        <f>223839+118361</f>
        <v>342200</v>
      </c>
      <c r="T25" s="43">
        <v>0</v>
      </c>
      <c r="U25" s="43">
        <v>0</v>
      </c>
      <c r="V25" s="103">
        <f>25795+25026</f>
        <v>50821</v>
      </c>
      <c r="W25" s="43">
        <v>0</v>
      </c>
      <c r="X25" s="43">
        <v>0</v>
      </c>
      <c r="Y25" s="153">
        <v>0</v>
      </c>
      <c r="Z25" s="103">
        <v>0</v>
      </c>
      <c r="AA25" s="25">
        <v>0</v>
      </c>
      <c r="AB25" s="25">
        <v>0</v>
      </c>
      <c r="AC25" s="57">
        <v>0</v>
      </c>
      <c r="AD25" s="43">
        <v>0</v>
      </c>
      <c r="AE25" s="43">
        <v>0</v>
      </c>
      <c r="AF25" s="103">
        <f>99809+106432</f>
        <v>206241</v>
      </c>
      <c r="AG25" s="43">
        <v>0</v>
      </c>
      <c r="AH25" s="162">
        <f>0+6070+21961+10686+27469</f>
        <v>66186</v>
      </c>
      <c r="AI25" s="153">
        <v>0</v>
      </c>
      <c r="AJ25" s="106">
        <v>0</v>
      </c>
      <c r="AK25" s="150">
        <v>0</v>
      </c>
      <c r="AL25" s="150">
        <v>0</v>
      </c>
      <c r="AM25" s="211">
        <v>0</v>
      </c>
      <c r="AN25" s="160">
        <v>0</v>
      </c>
      <c r="AO25" s="43">
        <v>0</v>
      </c>
      <c r="AP25" s="103">
        <v>0</v>
      </c>
      <c r="AQ25" s="43">
        <f>35843</f>
        <v>35843</v>
      </c>
      <c r="AR25" s="43">
        <v>0</v>
      </c>
      <c r="AS25" s="213">
        <f>69370+66862+173446</f>
        <v>309678</v>
      </c>
      <c r="AT25" s="149">
        <v>0</v>
      </c>
      <c r="AU25" s="25">
        <v>0</v>
      </c>
      <c r="AV25" s="57">
        <v>0</v>
      </c>
      <c r="AW25" s="25">
        <v>0</v>
      </c>
      <c r="AX25" s="25">
        <v>0</v>
      </c>
      <c r="AY25" s="57">
        <v>0</v>
      </c>
      <c r="AZ25" s="25">
        <v>0</v>
      </c>
      <c r="BA25" s="25">
        <v>0</v>
      </c>
      <c r="BB25" s="57">
        <v>0</v>
      </c>
      <c r="BC25" s="25">
        <v>0</v>
      </c>
      <c r="BD25" s="25">
        <v>0</v>
      </c>
      <c r="BE25" s="108">
        <f>5800+73335</f>
        <v>79135</v>
      </c>
      <c r="BF25" s="124">
        <v>0</v>
      </c>
      <c r="BG25" s="43">
        <f>21823+30521</f>
        <v>52344</v>
      </c>
      <c r="BH25" s="43">
        <v>0</v>
      </c>
      <c r="BI25" s="208">
        <f>27418+0+30313</f>
        <v>57731</v>
      </c>
      <c r="BJ25" s="25">
        <f>18612</f>
        <v>18612</v>
      </c>
      <c r="BK25" s="25">
        <v>0</v>
      </c>
      <c r="BL25" s="57">
        <v>0</v>
      </c>
      <c r="BM25" s="25">
        <v>0</v>
      </c>
      <c r="BN25" s="25">
        <v>0</v>
      </c>
      <c r="BO25" s="57">
        <v>0</v>
      </c>
      <c r="BP25" s="150">
        <v>0</v>
      </c>
      <c r="BQ25" s="150">
        <v>0</v>
      </c>
      <c r="BR25" s="211">
        <v>0</v>
      </c>
    </row>
    <row r="26" spans="1:70" s="42" customFormat="1" ht="12.75">
      <c r="A26" s="41">
        <v>1999</v>
      </c>
      <c r="B26" s="155">
        <v>0</v>
      </c>
      <c r="C26" s="155">
        <v>0</v>
      </c>
      <c r="D26" s="209">
        <v>0</v>
      </c>
      <c r="E26" s="43">
        <v>0</v>
      </c>
      <c r="F26" s="43">
        <v>0</v>
      </c>
      <c r="G26" s="103">
        <f>104587+109969</f>
        <v>214556</v>
      </c>
      <c r="H26" s="43">
        <v>0</v>
      </c>
      <c r="I26" s="43">
        <v>0</v>
      </c>
      <c r="J26" s="103">
        <f>189230</f>
        <v>189230</v>
      </c>
      <c r="K26" s="43">
        <v>0</v>
      </c>
      <c r="L26" s="43">
        <v>0</v>
      </c>
      <c r="M26" s="103">
        <v>0</v>
      </c>
      <c r="N26" s="150">
        <v>28400</v>
      </c>
      <c r="O26" s="150">
        <v>0</v>
      </c>
      <c r="P26" s="211">
        <v>0</v>
      </c>
      <c r="Q26" s="149">
        <v>0</v>
      </c>
      <c r="R26" s="25">
        <v>0</v>
      </c>
      <c r="S26" s="57">
        <f>111052</f>
        <v>111052</v>
      </c>
      <c r="T26" s="43">
        <f>332+1490</f>
        <v>1822</v>
      </c>
      <c r="U26" s="43">
        <v>0</v>
      </c>
      <c r="V26" s="208">
        <f>0+34986</f>
        <v>34986</v>
      </c>
      <c r="W26" s="43">
        <v>0</v>
      </c>
      <c r="X26" s="43">
        <v>0</v>
      </c>
      <c r="Y26" s="153">
        <v>0</v>
      </c>
      <c r="Z26" s="103">
        <v>0</v>
      </c>
      <c r="AA26" s="25">
        <v>0</v>
      </c>
      <c r="AB26" s="25">
        <v>0</v>
      </c>
      <c r="AC26" s="57">
        <v>0</v>
      </c>
      <c r="AD26" s="43">
        <v>0</v>
      </c>
      <c r="AE26" s="43">
        <v>0</v>
      </c>
      <c r="AF26" s="103">
        <v>0</v>
      </c>
      <c r="AG26" s="43">
        <v>0</v>
      </c>
      <c r="AH26" s="43">
        <v>0</v>
      </c>
      <c r="AI26" s="153">
        <f>5628</f>
        <v>5628</v>
      </c>
      <c r="AJ26" s="106">
        <v>0</v>
      </c>
      <c r="AK26" s="150">
        <f>18282+1800</f>
        <v>20082</v>
      </c>
      <c r="AL26" s="150">
        <f>10500</f>
        <v>10500</v>
      </c>
      <c r="AM26" s="211">
        <v>0</v>
      </c>
      <c r="AN26" s="163">
        <f>0+40259+33901</f>
        <v>74160</v>
      </c>
      <c r="AO26" s="43">
        <v>0</v>
      </c>
      <c r="AP26" s="103">
        <f>9201</f>
        <v>9201</v>
      </c>
      <c r="AQ26" s="162">
        <f>2000+0+115910+81857+79860+33150+43409+75604+45189</f>
        <v>476979</v>
      </c>
      <c r="AR26" s="43">
        <v>10440</v>
      </c>
      <c r="AS26" s="217">
        <f>141374+0+68472</f>
        <v>209846</v>
      </c>
      <c r="AT26" s="149">
        <v>0</v>
      </c>
      <c r="AU26" s="25">
        <v>0</v>
      </c>
      <c r="AV26" s="57">
        <v>0</v>
      </c>
      <c r="AW26" s="25">
        <v>0</v>
      </c>
      <c r="AX26" s="25">
        <v>0</v>
      </c>
      <c r="AY26" s="57">
        <v>0</v>
      </c>
      <c r="AZ26" s="25">
        <v>0</v>
      </c>
      <c r="BA26" s="25">
        <v>0</v>
      </c>
      <c r="BB26" s="57">
        <v>0</v>
      </c>
      <c r="BC26" s="25">
        <f>14674</f>
        <v>14674</v>
      </c>
      <c r="BD26" s="25">
        <v>0</v>
      </c>
      <c r="BE26" s="108">
        <f>118694+5628</f>
        <v>124322</v>
      </c>
      <c r="BF26" s="124">
        <v>0</v>
      </c>
      <c r="BG26" s="43">
        <f>41039</f>
        <v>41039</v>
      </c>
      <c r="BH26" s="43">
        <v>0</v>
      </c>
      <c r="BI26" s="103">
        <f>28751+29348</f>
        <v>58099</v>
      </c>
      <c r="BJ26" s="25">
        <f>17213+18742</f>
        <v>35955</v>
      </c>
      <c r="BK26" s="25">
        <v>0</v>
      </c>
      <c r="BL26" s="57">
        <v>0</v>
      </c>
      <c r="BM26" s="25">
        <v>0</v>
      </c>
      <c r="BN26" s="25">
        <v>0</v>
      </c>
      <c r="BO26" s="57">
        <v>0</v>
      </c>
      <c r="BP26" s="150">
        <v>0</v>
      </c>
      <c r="BQ26" s="150">
        <v>0</v>
      </c>
      <c r="BR26" s="211">
        <v>0</v>
      </c>
    </row>
    <row r="27" spans="1:70" s="42" customFormat="1" ht="12.75">
      <c r="A27" s="41">
        <v>2000</v>
      </c>
      <c r="B27" s="155">
        <v>0</v>
      </c>
      <c r="C27" s="155">
        <v>0</v>
      </c>
      <c r="D27" s="209">
        <v>0</v>
      </c>
      <c r="E27" s="43">
        <v>0</v>
      </c>
      <c r="F27" s="43">
        <v>0</v>
      </c>
      <c r="G27" s="103">
        <f>104481+105171</f>
        <v>209652</v>
      </c>
      <c r="H27" s="43">
        <v>0</v>
      </c>
      <c r="I27" s="43">
        <v>0</v>
      </c>
      <c r="J27" s="103">
        <f>196385</f>
        <v>196385</v>
      </c>
      <c r="K27" s="43">
        <v>0</v>
      </c>
      <c r="L27" s="43">
        <v>0</v>
      </c>
      <c r="M27" s="103">
        <v>0</v>
      </c>
      <c r="N27" s="150">
        <v>19632</v>
      </c>
      <c r="O27" s="150">
        <v>0</v>
      </c>
      <c r="P27" s="211">
        <v>0</v>
      </c>
      <c r="Q27" s="149">
        <v>0</v>
      </c>
      <c r="R27" s="25">
        <v>0</v>
      </c>
      <c r="S27" s="57">
        <f>20450</f>
        <v>20450</v>
      </c>
      <c r="T27" s="43">
        <f>1260</f>
        <v>1260</v>
      </c>
      <c r="U27" s="43">
        <v>0</v>
      </c>
      <c r="V27" s="103">
        <f>425</f>
        <v>425</v>
      </c>
      <c r="W27" s="43">
        <v>0</v>
      </c>
      <c r="X27" s="43">
        <v>0</v>
      </c>
      <c r="Y27" s="153">
        <v>0</v>
      </c>
      <c r="Z27" s="103">
        <v>0</v>
      </c>
      <c r="AA27" s="25">
        <v>0</v>
      </c>
      <c r="AB27" s="25">
        <v>0</v>
      </c>
      <c r="AC27" s="57">
        <v>0</v>
      </c>
      <c r="AD27" s="43">
        <v>0</v>
      </c>
      <c r="AE27" s="43">
        <v>0</v>
      </c>
      <c r="AF27" s="103">
        <v>0</v>
      </c>
      <c r="AG27" s="43">
        <v>0</v>
      </c>
      <c r="AH27" s="43">
        <v>0</v>
      </c>
      <c r="AI27" s="153">
        <v>0</v>
      </c>
      <c r="AJ27" s="106">
        <v>0</v>
      </c>
      <c r="AK27" s="150">
        <f>7176</f>
        <v>7176</v>
      </c>
      <c r="AL27" s="150">
        <f>8250+7500</f>
        <v>15750</v>
      </c>
      <c r="AM27" s="211">
        <v>0</v>
      </c>
      <c r="AN27" s="160">
        <f>13865</f>
        <v>13865</v>
      </c>
      <c r="AO27" s="43">
        <v>0</v>
      </c>
      <c r="AP27" s="103">
        <v>6942</v>
      </c>
      <c r="AQ27" s="162">
        <f>217495+77289+2512+264278+29012+26396+0+26424</f>
        <v>643406</v>
      </c>
      <c r="AR27" s="43">
        <v>100800</v>
      </c>
      <c r="AS27" s="213">
        <f>19480+43336+145163</f>
        <v>207979</v>
      </c>
      <c r="AT27" s="149">
        <v>0</v>
      </c>
      <c r="AU27" s="25">
        <v>0</v>
      </c>
      <c r="AV27" s="57">
        <v>0</v>
      </c>
      <c r="AW27" s="25">
        <v>0</v>
      </c>
      <c r="AX27" s="25">
        <v>0</v>
      </c>
      <c r="AY27" s="57">
        <v>0</v>
      </c>
      <c r="AZ27" s="25">
        <v>0</v>
      </c>
      <c r="BA27" s="25">
        <v>0</v>
      </c>
      <c r="BB27" s="57">
        <v>0</v>
      </c>
      <c r="BC27" s="25">
        <f>16013</f>
        <v>16013</v>
      </c>
      <c r="BD27" s="25">
        <v>0</v>
      </c>
      <c r="BE27" s="108">
        <f>5216+117134</f>
        <v>122350</v>
      </c>
      <c r="BF27" s="124">
        <v>0</v>
      </c>
      <c r="BG27" s="43">
        <f>65793+51524+33301</f>
        <v>150618</v>
      </c>
      <c r="BH27" s="43">
        <v>0</v>
      </c>
      <c r="BI27" s="103">
        <f>26219+27663</f>
        <v>53882</v>
      </c>
      <c r="BJ27" s="25">
        <v>0</v>
      </c>
      <c r="BK27" s="25">
        <v>0</v>
      </c>
      <c r="BL27" s="57">
        <v>0</v>
      </c>
      <c r="BM27" s="25">
        <v>0</v>
      </c>
      <c r="BN27" s="25">
        <v>0</v>
      </c>
      <c r="BO27" s="57">
        <v>0</v>
      </c>
      <c r="BP27" s="150">
        <v>0</v>
      </c>
      <c r="BQ27" s="150">
        <v>0</v>
      </c>
      <c r="BR27" s="211">
        <v>0</v>
      </c>
    </row>
    <row r="28" spans="1:70" s="42" customFormat="1" ht="12.75">
      <c r="A28" s="41">
        <v>2001</v>
      </c>
      <c r="B28" s="155">
        <v>0</v>
      </c>
      <c r="C28" s="155">
        <v>0</v>
      </c>
      <c r="D28" s="209">
        <v>0</v>
      </c>
      <c r="E28" s="43">
        <v>0</v>
      </c>
      <c r="F28" s="43">
        <v>0</v>
      </c>
      <c r="G28" s="103">
        <f>101833+102815</f>
        <v>204648</v>
      </c>
      <c r="H28" s="43">
        <v>0</v>
      </c>
      <c r="I28" s="43">
        <v>0</v>
      </c>
      <c r="J28" s="103">
        <f>194634</f>
        <v>194634</v>
      </c>
      <c r="K28" s="43">
        <v>0</v>
      </c>
      <c r="L28" s="43">
        <v>0</v>
      </c>
      <c r="M28" s="103">
        <v>0</v>
      </c>
      <c r="N28" s="150">
        <v>0</v>
      </c>
      <c r="O28" s="150">
        <v>0</v>
      </c>
      <c r="P28" s="211">
        <v>0</v>
      </c>
      <c r="Q28" s="149">
        <v>0</v>
      </c>
      <c r="R28" s="25">
        <v>0</v>
      </c>
      <c r="S28" s="57">
        <f>198107</f>
        <v>198107</v>
      </c>
      <c r="T28" s="43">
        <f>1532</f>
        <v>1532</v>
      </c>
      <c r="U28" s="43">
        <v>0</v>
      </c>
      <c r="V28" s="208">
        <f>1401+0+47510</f>
        <v>48911</v>
      </c>
      <c r="W28" s="43">
        <v>0</v>
      </c>
      <c r="X28" s="43">
        <v>0</v>
      </c>
      <c r="Y28" s="153">
        <v>0</v>
      </c>
      <c r="Z28" s="103">
        <v>0</v>
      </c>
      <c r="AA28" s="25">
        <v>0</v>
      </c>
      <c r="AB28" s="25">
        <v>0</v>
      </c>
      <c r="AC28" s="57">
        <v>0</v>
      </c>
      <c r="AD28" s="43">
        <v>0</v>
      </c>
      <c r="AE28" s="43">
        <v>0</v>
      </c>
      <c r="AF28" s="103">
        <v>0</v>
      </c>
      <c r="AG28" s="43">
        <v>0</v>
      </c>
      <c r="AH28" s="43">
        <v>0</v>
      </c>
      <c r="AI28" s="153">
        <v>0</v>
      </c>
      <c r="AJ28" s="106">
        <v>0</v>
      </c>
      <c r="AK28" s="150">
        <f>9000</f>
        <v>9000</v>
      </c>
      <c r="AL28" s="150">
        <f>9000</f>
        <v>9000</v>
      </c>
      <c r="AM28" s="211">
        <v>0</v>
      </c>
      <c r="AN28" s="160">
        <v>0</v>
      </c>
      <c r="AO28" s="43">
        <v>0</v>
      </c>
      <c r="AP28" s="103">
        <v>0</v>
      </c>
      <c r="AQ28" s="162">
        <f>79242+21641+0+196102+72541+24666+29505+18116+8155+25546+24620+219233</f>
        <v>719367</v>
      </c>
      <c r="AR28" s="43">
        <f>14980+9980</f>
        <v>24960</v>
      </c>
      <c r="AS28" s="213">
        <f>39849+76851</f>
        <v>116700</v>
      </c>
      <c r="AT28" s="149">
        <v>0</v>
      </c>
      <c r="AU28" s="25">
        <v>0</v>
      </c>
      <c r="AV28" s="57">
        <v>0</v>
      </c>
      <c r="AW28" s="25">
        <v>0</v>
      </c>
      <c r="AX28" s="25">
        <v>0</v>
      </c>
      <c r="AY28" s="57">
        <v>0</v>
      </c>
      <c r="AZ28" s="25">
        <v>0</v>
      </c>
      <c r="BA28" s="25">
        <v>0</v>
      </c>
      <c r="BB28" s="57">
        <v>0</v>
      </c>
      <c r="BC28" s="25">
        <f>12179</f>
        <v>12179</v>
      </c>
      <c r="BD28" s="25">
        <v>0</v>
      </c>
      <c r="BE28" s="108">
        <f>4927+119024</f>
        <v>123951</v>
      </c>
      <c r="BF28" s="124">
        <v>0</v>
      </c>
      <c r="BG28" s="43">
        <f>21832+16392</f>
        <v>38224</v>
      </c>
      <c r="BH28" s="43">
        <v>0</v>
      </c>
      <c r="BI28" s="103">
        <f>25452+23166</f>
        <v>48618</v>
      </c>
      <c r="BJ28" s="25">
        <v>0</v>
      </c>
      <c r="BK28" s="25">
        <v>0</v>
      </c>
      <c r="BL28" s="57">
        <v>0</v>
      </c>
      <c r="BM28" s="25">
        <v>0</v>
      </c>
      <c r="BN28" s="25">
        <v>0</v>
      </c>
      <c r="BO28" s="57">
        <v>0</v>
      </c>
      <c r="BP28" s="150">
        <v>0</v>
      </c>
      <c r="BQ28" s="150">
        <v>0</v>
      </c>
      <c r="BR28" s="211">
        <v>0</v>
      </c>
    </row>
    <row r="29" spans="1:70" s="42" customFormat="1" ht="12.75">
      <c r="A29" s="41">
        <v>2002</v>
      </c>
      <c r="B29" s="155">
        <v>0</v>
      </c>
      <c r="C29" s="25">
        <f>25366+53416</f>
        <v>78782</v>
      </c>
      <c r="D29" s="209">
        <v>0</v>
      </c>
      <c r="E29" s="43">
        <v>0</v>
      </c>
      <c r="F29" s="43">
        <v>0</v>
      </c>
      <c r="G29" s="103">
        <f>102610+101924</f>
        <v>204534</v>
      </c>
      <c r="H29" s="43">
        <v>0</v>
      </c>
      <c r="I29" s="43">
        <v>0</v>
      </c>
      <c r="J29" s="103">
        <f>201749</f>
        <v>201749</v>
      </c>
      <c r="K29" s="43">
        <v>0</v>
      </c>
      <c r="L29" s="43">
        <v>0</v>
      </c>
      <c r="M29" s="103">
        <v>0</v>
      </c>
      <c r="N29" s="150">
        <v>0</v>
      </c>
      <c r="O29" s="150">
        <f>34219+25810</f>
        <v>60029</v>
      </c>
      <c r="P29" s="211">
        <v>0</v>
      </c>
      <c r="Q29" s="149">
        <v>0</v>
      </c>
      <c r="R29" s="25">
        <v>0</v>
      </c>
      <c r="S29" s="57">
        <f>192945</f>
        <v>192945</v>
      </c>
      <c r="T29" s="43">
        <v>0</v>
      </c>
      <c r="U29" s="43">
        <v>0</v>
      </c>
      <c r="V29" s="208">
        <f>0+42661</f>
        <v>42661</v>
      </c>
      <c r="W29" s="43">
        <v>0</v>
      </c>
      <c r="X29" s="43">
        <v>0</v>
      </c>
      <c r="Y29" s="153">
        <v>0</v>
      </c>
      <c r="Z29" s="103">
        <v>0</v>
      </c>
      <c r="AA29" s="25">
        <v>0</v>
      </c>
      <c r="AB29" s="25">
        <v>0</v>
      </c>
      <c r="AC29" s="57">
        <v>0</v>
      </c>
      <c r="AD29" s="43">
        <v>0</v>
      </c>
      <c r="AE29" s="43">
        <v>0</v>
      </c>
      <c r="AF29" s="103">
        <v>0</v>
      </c>
      <c r="AG29" s="43">
        <v>0</v>
      </c>
      <c r="AH29" s="43">
        <v>0</v>
      </c>
      <c r="AI29" s="153">
        <v>0</v>
      </c>
      <c r="AJ29" s="106">
        <v>0</v>
      </c>
      <c r="AK29" s="150">
        <v>0</v>
      </c>
      <c r="AL29" s="150">
        <v>0</v>
      </c>
      <c r="AM29" s="211">
        <v>0</v>
      </c>
      <c r="AN29" s="160">
        <v>0</v>
      </c>
      <c r="AO29" s="43">
        <v>0</v>
      </c>
      <c r="AP29" s="103">
        <v>0</v>
      </c>
      <c r="AQ29" s="162">
        <f>0+28631+17548+271600+98976</f>
        <v>416755</v>
      </c>
      <c r="AR29" s="43">
        <v>0</v>
      </c>
      <c r="AS29" s="213">
        <f>54520+60658</f>
        <v>115178</v>
      </c>
      <c r="AT29" s="149">
        <v>0</v>
      </c>
      <c r="AU29" s="25">
        <v>0</v>
      </c>
      <c r="AV29" s="57">
        <v>0</v>
      </c>
      <c r="AW29" s="25">
        <v>0</v>
      </c>
      <c r="AX29" s="25">
        <v>0</v>
      </c>
      <c r="AY29" s="57">
        <v>0</v>
      </c>
      <c r="AZ29" s="25">
        <v>0</v>
      </c>
      <c r="BA29" s="25">
        <v>0</v>
      </c>
      <c r="BB29" s="57">
        <v>0</v>
      </c>
      <c r="BC29" s="25">
        <f>24831</f>
        <v>24831</v>
      </c>
      <c r="BD29" s="25">
        <v>0</v>
      </c>
      <c r="BE29" s="216">
        <f>0+7560+126617</f>
        <v>134177</v>
      </c>
      <c r="BF29" s="124">
        <v>0</v>
      </c>
      <c r="BG29" s="43">
        <f>50045+3317</f>
        <v>53362</v>
      </c>
      <c r="BH29" s="43">
        <v>0</v>
      </c>
      <c r="BI29" s="103">
        <f>32132+24898</f>
        <v>57030</v>
      </c>
      <c r="BJ29" s="25">
        <v>0</v>
      </c>
      <c r="BK29" s="25">
        <v>0</v>
      </c>
      <c r="BL29" s="57">
        <v>0</v>
      </c>
      <c r="BM29" s="25">
        <v>0</v>
      </c>
      <c r="BN29" s="25">
        <v>0</v>
      </c>
      <c r="BO29" s="57">
        <v>0</v>
      </c>
      <c r="BP29" s="150">
        <v>0</v>
      </c>
      <c r="BQ29" s="150">
        <v>0</v>
      </c>
      <c r="BR29" s="211">
        <v>0</v>
      </c>
    </row>
    <row r="30" spans="1:70" s="42" customFormat="1" ht="13.5" thickBot="1">
      <c r="A30" s="41">
        <v>2003</v>
      </c>
      <c r="B30" s="157">
        <v>0</v>
      </c>
      <c r="C30" s="157">
        <v>0</v>
      </c>
      <c r="D30" s="209">
        <v>0</v>
      </c>
      <c r="E30" s="153">
        <v>0</v>
      </c>
      <c r="F30" s="153">
        <v>0</v>
      </c>
      <c r="G30" s="103">
        <f>47704+54000</f>
        <v>101704</v>
      </c>
      <c r="H30" s="153">
        <v>0</v>
      </c>
      <c r="I30" s="153">
        <v>0</v>
      </c>
      <c r="J30" s="103">
        <f>48981+48374</f>
        <v>97355</v>
      </c>
      <c r="K30" s="153">
        <v>0</v>
      </c>
      <c r="L30" s="153">
        <v>0</v>
      </c>
      <c r="M30" s="103">
        <v>0</v>
      </c>
      <c r="N30" s="154">
        <v>0</v>
      </c>
      <c r="O30" s="154">
        <v>0</v>
      </c>
      <c r="P30" s="211">
        <v>0</v>
      </c>
      <c r="Q30" s="149">
        <v>0</v>
      </c>
      <c r="R30" s="108">
        <v>0</v>
      </c>
      <c r="S30" s="57">
        <f>196291</f>
        <v>196291</v>
      </c>
      <c r="T30" s="153">
        <v>0</v>
      </c>
      <c r="U30" s="153">
        <v>0</v>
      </c>
      <c r="V30" s="208">
        <f>0+44737</f>
        <v>44737</v>
      </c>
      <c r="W30" s="153">
        <v>0</v>
      </c>
      <c r="X30" s="153">
        <v>0</v>
      </c>
      <c r="Y30" s="153">
        <v>0</v>
      </c>
      <c r="Z30" s="103">
        <v>0</v>
      </c>
      <c r="AA30" s="108">
        <v>0</v>
      </c>
      <c r="AB30" s="108">
        <v>0</v>
      </c>
      <c r="AC30" s="57">
        <v>0</v>
      </c>
      <c r="AD30" s="153">
        <v>0</v>
      </c>
      <c r="AE30" s="153">
        <v>0</v>
      </c>
      <c r="AF30" s="103">
        <v>0</v>
      </c>
      <c r="AG30" s="153">
        <v>0</v>
      </c>
      <c r="AH30" s="153">
        <v>0</v>
      </c>
      <c r="AI30" s="153">
        <v>0</v>
      </c>
      <c r="AJ30" s="106">
        <v>0</v>
      </c>
      <c r="AK30" s="154">
        <v>0</v>
      </c>
      <c r="AL30" s="223">
        <v>17467</v>
      </c>
      <c r="AM30" s="211">
        <v>0</v>
      </c>
      <c r="AN30" s="160">
        <v>0</v>
      </c>
      <c r="AO30" s="153">
        <v>0</v>
      </c>
      <c r="AP30" s="103">
        <v>0</v>
      </c>
      <c r="AQ30" s="162">
        <v>491644</v>
      </c>
      <c r="AR30" s="153">
        <v>0</v>
      </c>
      <c r="AS30" s="213">
        <f>24373+14980+46575+60242</f>
        <v>146170</v>
      </c>
      <c r="AT30" s="149">
        <v>0</v>
      </c>
      <c r="AU30" s="108">
        <v>0</v>
      </c>
      <c r="AV30" s="57">
        <v>0</v>
      </c>
      <c r="AW30" s="108">
        <v>0</v>
      </c>
      <c r="AX30" s="108">
        <v>0</v>
      </c>
      <c r="AY30" s="57">
        <v>0</v>
      </c>
      <c r="AZ30" s="108">
        <v>0</v>
      </c>
      <c r="BA30" s="108">
        <v>0</v>
      </c>
      <c r="BB30" s="57">
        <v>0</v>
      </c>
      <c r="BC30" s="224">
        <f>19939+54965+15126</f>
        <v>90030</v>
      </c>
      <c r="BD30" s="108">
        <v>0</v>
      </c>
      <c r="BE30" s="216">
        <f>0+5000+82539+28024</f>
        <v>115563</v>
      </c>
      <c r="BF30" s="124">
        <v>0</v>
      </c>
      <c r="BG30" s="225">
        <f>16764+0+17244+9584</f>
        <v>43592</v>
      </c>
      <c r="BH30" s="153">
        <v>0</v>
      </c>
      <c r="BI30" s="208">
        <f>20517+0+26951</f>
        <v>47468</v>
      </c>
      <c r="BJ30" s="108">
        <v>0</v>
      </c>
      <c r="BK30" s="108">
        <v>0</v>
      </c>
      <c r="BL30" s="57">
        <v>0</v>
      </c>
      <c r="BM30" s="108">
        <v>0</v>
      </c>
      <c r="BN30" s="108">
        <v>0</v>
      </c>
      <c r="BO30" s="57">
        <v>0</v>
      </c>
      <c r="BP30" s="154">
        <v>0</v>
      </c>
      <c r="BQ30" s="154">
        <v>0</v>
      </c>
      <c r="BR30" s="211">
        <v>0</v>
      </c>
    </row>
    <row r="31" spans="1:70" s="42" customFormat="1" ht="12.75">
      <c r="A31" s="109" t="s">
        <v>27</v>
      </c>
      <c r="B31" s="110"/>
      <c r="C31" s="110"/>
      <c r="D31" s="111"/>
      <c r="E31" s="112"/>
      <c r="F31" s="112"/>
      <c r="G31" s="113"/>
      <c r="H31" s="112"/>
      <c r="I31" s="112"/>
      <c r="J31" s="113"/>
      <c r="K31" s="112"/>
      <c r="L31" s="112"/>
      <c r="M31" s="113"/>
      <c r="N31" s="114"/>
      <c r="O31" s="114"/>
      <c r="P31" s="115"/>
      <c r="Q31" s="137"/>
      <c r="R31" s="116"/>
      <c r="S31" s="117"/>
      <c r="T31" s="112"/>
      <c r="U31" s="112"/>
      <c r="V31" s="113"/>
      <c r="W31" s="118"/>
      <c r="X31" s="112"/>
      <c r="Y31" s="112"/>
      <c r="Z31" s="119"/>
      <c r="AA31" s="116"/>
      <c r="AB31" s="116"/>
      <c r="AC31" s="117"/>
      <c r="AD31" s="112"/>
      <c r="AE31" s="112"/>
      <c r="AF31" s="113"/>
      <c r="AG31" s="112"/>
      <c r="AH31" s="112"/>
      <c r="AI31" s="112"/>
      <c r="AJ31" s="119"/>
      <c r="AK31" s="114"/>
      <c r="AL31" s="114"/>
      <c r="AM31" s="115"/>
      <c r="AN31" s="145"/>
      <c r="AO31" s="112"/>
      <c r="AP31" s="113"/>
      <c r="AQ31" s="112"/>
      <c r="AR31" s="112"/>
      <c r="AS31" s="120"/>
      <c r="AT31" s="137"/>
      <c r="AU31" s="116"/>
      <c r="AV31" s="117"/>
      <c r="AW31" s="116"/>
      <c r="AX31" s="116"/>
      <c r="AY31" s="117"/>
      <c r="AZ31" s="159"/>
      <c r="BA31" s="116"/>
      <c r="BB31" s="117"/>
      <c r="BC31" s="116"/>
      <c r="BD31" s="116"/>
      <c r="BE31" s="116"/>
      <c r="BF31" s="126"/>
      <c r="BG31" s="112"/>
      <c r="BH31" s="112"/>
      <c r="BI31" s="113"/>
      <c r="BJ31" s="116"/>
      <c r="BK31" s="116"/>
      <c r="BL31" s="117"/>
      <c r="BM31" s="116"/>
      <c r="BN31" s="116"/>
      <c r="BO31" s="117"/>
      <c r="BP31" s="114"/>
      <c r="BQ31" s="114"/>
      <c r="BR31" s="115"/>
    </row>
    <row r="32" spans="1:70" s="42" customFormat="1" ht="12.75">
      <c r="A32" s="48" t="s">
        <v>28</v>
      </c>
      <c r="B32" s="71">
        <f aca="true" t="shared" si="0" ref="B32:AR32">AVERAGE(B17:B24)</f>
        <v>19813.625</v>
      </c>
      <c r="C32" s="71">
        <f t="shared" si="0"/>
        <v>6739.125</v>
      </c>
      <c r="D32" s="72">
        <f t="shared" si="0"/>
        <v>0</v>
      </c>
      <c r="E32" s="21">
        <f t="shared" si="0"/>
        <v>58782</v>
      </c>
      <c r="F32" s="21">
        <f t="shared" si="0"/>
        <v>14658</v>
      </c>
      <c r="G32" s="39">
        <f t="shared" si="0"/>
        <v>756791.625</v>
      </c>
      <c r="H32" s="21">
        <f t="shared" si="0"/>
        <v>53771.75</v>
      </c>
      <c r="I32" s="21">
        <f t="shared" si="0"/>
        <v>0</v>
      </c>
      <c r="J32" s="39">
        <f t="shared" si="0"/>
        <v>783139.25</v>
      </c>
      <c r="K32" s="21">
        <f t="shared" si="0"/>
        <v>4857.25</v>
      </c>
      <c r="L32" s="21">
        <f t="shared" si="0"/>
        <v>0</v>
      </c>
      <c r="M32" s="39">
        <f t="shared" si="0"/>
        <v>16617.875</v>
      </c>
      <c r="N32" s="23">
        <f t="shared" si="0"/>
        <v>35456.625</v>
      </c>
      <c r="O32" s="23">
        <f t="shared" si="0"/>
        <v>0</v>
      </c>
      <c r="P32" s="55">
        <f t="shared" si="0"/>
        <v>0</v>
      </c>
      <c r="Q32" s="138">
        <f t="shared" si="0"/>
        <v>58826.5</v>
      </c>
      <c r="R32" s="26">
        <f t="shared" si="0"/>
        <v>4961.75</v>
      </c>
      <c r="S32" s="34">
        <f t="shared" si="0"/>
        <v>338644.625</v>
      </c>
      <c r="T32" s="21">
        <f t="shared" si="0"/>
        <v>19539.75</v>
      </c>
      <c r="U32" s="21">
        <f t="shared" si="0"/>
        <v>84364.75</v>
      </c>
      <c r="V32" s="39">
        <f t="shared" si="0"/>
        <v>598485.875</v>
      </c>
      <c r="W32" s="21">
        <f t="shared" si="0"/>
        <v>9458.25</v>
      </c>
      <c r="X32" s="21">
        <f t="shared" si="0"/>
        <v>0</v>
      </c>
      <c r="Y32" s="100">
        <f>AVERAGE(Y17:Y24)</f>
        <v>144512.625</v>
      </c>
      <c r="Z32" s="39">
        <f t="shared" si="0"/>
        <v>354248.25</v>
      </c>
      <c r="AA32" s="26">
        <f t="shared" si="0"/>
        <v>0</v>
      </c>
      <c r="AB32" s="26">
        <f t="shared" si="0"/>
        <v>0</v>
      </c>
      <c r="AC32" s="34">
        <f t="shared" si="0"/>
        <v>0</v>
      </c>
      <c r="AD32" s="21">
        <f t="shared" si="0"/>
        <v>159571.75</v>
      </c>
      <c r="AE32" s="21">
        <f t="shared" si="0"/>
        <v>123075.625</v>
      </c>
      <c r="AF32" s="39">
        <f t="shared" si="0"/>
        <v>1092454.875</v>
      </c>
      <c r="AG32" s="21">
        <f t="shared" si="0"/>
        <v>59843.875</v>
      </c>
      <c r="AH32" s="21">
        <f t="shared" si="0"/>
        <v>38459.625</v>
      </c>
      <c r="AI32" s="100">
        <f>AVERAGE(AI17:AI24)</f>
        <v>59845.375</v>
      </c>
      <c r="AJ32" s="39">
        <f t="shared" si="0"/>
        <v>0</v>
      </c>
      <c r="AK32" s="23">
        <f t="shared" si="0"/>
        <v>33442</v>
      </c>
      <c r="AL32" s="23">
        <f t="shared" si="0"/>
        <v>5917.5</v>
      </c>
      <c r="AM32" s="55">
        <f>AVERAGE(AM17:AM30)</f>
        <v>0</v>
      </c>
      <c r="AN32" s="146">
        <f t="shared" si="0"/>
        <v>59349.75</v>
      </c>
      <c r="AO32" s="21">
        <f t="shared" si="0"/>
        <v>0</v>
      </c>
      <c r="AP32" s="39">
        <f t="shared" si="0"/>
        <v>11632.5</v>
      </c>
      <c r="AQ32" s="21">
        <f t="shared" si="0"/>
        <v>275127.875</v>
      </c>
      <c r="AR32" s="21">
        <f t="shared" si="0"/>
        <v>4918.5</v>
      </c>
      <c r="AS32" s="59">
        <f>AVERAGE(AS17:AS25)</f>
        <v>313308.3333333333</v>
      </c>
      <c r="AT32" s="138">
        <f aca="true" t="shared" si="1" ref="AT32:BP32">AVERAGE(AT17:AT24)</f>
        <v>0</v>
      </c>
      <c r="AU32" s="26">
        <f t="shared" si="1"/>
        <v>187.5</v>
      </c>
      <c r="AV32" s="34">
        <f t="shared" si="1"/>
        <v>0</v>
      </c>
      <c r="AW32" s="26">
        <f t="shared" si="1"/>
        <v>0</v>
      </c>
      <c r="AX32" s="26">
        <f t="shared" si="1"/>
        <v>0</v>
      </c>
      <c r="AY32" s="34">
        <f t="shared" si="1"/>
        <v>501.625</v>
      </c>
      <c r="AZ32" s="26">
        <f t="shared" si="1"/>
        <v>32139.875</v>
      </c>
      <c r="BA32" s="26">
        <f t="shared" si="1"/>
        <v>205827.625</v>
      </c>
      <c r="BB32" s="34">
        <f t="shared" si="1"/>
        <v>65573.25</v>
      </c>
      <c r="BC32" s="26">
        <f t="shared" si="1"/>
        <v>271536.625</v>
      </c>
      <c r="BD32" s="26">
        <f t="shared" si="1"/>
        <v>2531.75</v>
      </c>
      <c r="BE32" s="40">
        <f t="shared" si="1"/>
        <v>87487.375</v>
      </c>
      <c r="BF32" s="34">
        <f t="shared" si="1"/>
        <v>0</v>
      </c>
      <c r="BG32" s="21">
        <f t="shared" si="1"/>
        <v>228898.5</v>
      </c>
      <c r="BH32" s="21">
        <f t="shared" si="1"/>
        <v>17433.125</v>
      </c>
      <c r="BI32" s="39">
        <f t="shared" si="1"/>
        <v>83765.25</v>
      </c>
      <c r="BJ32" s="26">
        <f t="shared" si="1"/>
        <v>25071.875</v>
      </c>
      <c r="BK32" s="26">
        <f t="shared" si="1"/>
        <v>0</v>
      </c>
      <c r="BL32" s="34">
        <f t="shared" si="1"/>
        <v>0</v>
      </c>
      <c r="BM32" s="26">
        <f t="shared" si="1"/>
        <v>0</v>
      </c>
      <c r="BN32" s="26">
        <f t="shared" si="1"/>
        <v>0</v>
      </c>
      <c r="BO32" s="34">
        <f t="shared" si="1"/>
        <v>0</v>
      </c>
      <c r="BP32" s="23">
        <f t="shared" si="1"/>
        <v>10451.375</v>
      </c>
      <c r="BQ32" s="23">
        <f>AVERAGE(BQ17:BQ30)</f>
        <v>0</v>
      </c>
      <c r="BR32" s="55">
        <f>AVERAGE(BR17:BR30)</f>
        <v>0</v>
      </c>
    </row>
    <row r="33" spans="1:70" s="42" customFormat="1" ht="12.75">
      <c r="A33" s="48" t="s">
        <v>29</v>
      </c>
      <c r="B33" s="71">
        <f aca="true" t="shared" si="2" ref="B33:AR33">MIN(B17:B24)</f>
        <v>0</v>
      </c>
      <c r="C33" s="71">
        <f t="shared" si="2"/>
        <v>0</v>
      </c>
      <c r="D33" s="72">
        <f t="shared" si="2"/>
        <v>0</v>
      </c>
      <c r="E33" s="21">
        <f t="shared" si="2"/>
        <v>0</v>
      </c>
      <c r="F33" s="21">
        <f t="shared" si="2"/>
        <v>0</v>
      </c>
      <c r="G33" s="39">
        <f t="shared" si="2"/>
        <v>629007</v>
      </c>
      <c r="H33" s="21">
        <f t="shared" si="2"/>
        <v>0</v>
      </c>
      <c r="I33" s="21">
        <f t="shared" si="2"/>
        <v>0</v>
      </c>
      <c r="J33" s="39">
        <f t="shared" si="2"/>
        <v>144533</v>
      </c>
      <c r="K33" s="21">
        <f t="shared" si="2"/>
        <v>0</v>
      </c>
      <c r="L33" s="21">
        <f t="shared" si="2"/>
        <v>0</v>
      </c>
      <c r="M33" s="39">
        <f t="shared" si="2"/>
        <v>0</v>
      </c>
      <c r="N33" s="23">
        <f t="shared" si="2"/>
        <v>26729</v>
      </c>
      <c r="O33" s="23">
        <f t="shared" si="2"/>
        <v>0</v>
      </c>
      <c r="P33" s="55">
        <f t="shared" si="2"/>
        <v>0</v>
      </c>
      <c r="Q33" s="138">
        <f t="shared" si="2"/>
        <v>0</v>
      </c>
      <c r="R33" s="26">
        <f t="shared" si="2"/>
        <v>0</v>
      </c>
      <c r="S33" s="34">
        <f t="shared" si="2"/>
        <v>200206</v>
      </c>
      <c r="T33" s="21">
        <f t="shared" si="2"/>
        <v>0</v>
      </c>
      <c r="U33" s="21">
        <f t="shared" si="2"/>
        <v>0</v>
      </c>
      <c r="V33" s="39">
        <f t="shared" si="2"/>
        <v>50176</v>
      </c>
      <c r="W33" s="21">
        <f t="shared" si="2"/>
        <v>0</v>
      </c>
      <c r="X33" s="21">
        <f t="shared" si="2"/>
        <v>0</v>
      </c>
      <c r="Y33" s="100">
        <f>MIN(Y17:Y24)</f>
        <v>0</v>
      </c>
      <c r="Z33" s="39">
        <f t="shared" si="2"/>
        <v>0</v>
      </c>
      <c r="AA33" s="26">
        <f t="shared" si="2"/>
        <v>0</v>
      </c>
      <c r="AB33" s="26">
        <f t="shared" si="2"/>
        <v>0</v>
      </c>
      <c r="AC33" s="34">
        <f t="shared" si="2"/>
        <v>0</v>
      </c>
      <c r="AD33" s="21">
        <f t="shared" si="2"/>
        <v>0</v>
      </c>
      <c r="AE33" s="21">
        <f t="shared" si="2"/>
        <v>0</v>
      </c>
      <c r="AF33" s="39">
        <f t="shared" si="2"/>
        <v>949502</v>
      </c>
      <c r="AG33" s="21">
        <f t="shared" si="2"/>
        <v>0</v>
      </c>
      <c r="AH33" s="21">
        <f t="shared" si="2"/>
        <v>0</v>
      </c>
      <c r="AI33" s="100">
        <f>MIN(AI17:AI24)</f>
        <v>23390</v>
      </c>
      <c r="AJ33" s="39">
        <f t="shared" si="2"/>
        <v>0</v>
      </c>
      <c r="AK33" s="23">
        <f t="shared" si="2"/>
        <v>0</v>
      </c>
      <c r="AL33" s="23">
        <f t="shared" si="2"/>
        <v>0</v>
      </c>
      <c r="AM33" s="55">
        <f>MIN(AM17:AM30)</f>
        <v>0</v>
      </c>
      <c r="AN33" s="146">
        <f t="shared" si="2"/>
        <v>195</v>
      </c>
      <c r="AO33" s="21">
        <f t="shared" si="2"/>
        <v>0</v>
      </c>
      <c r="AP33" s="39">
        <f t="shared" si="2"/>
        <v>0</v>
      </c>
      <c r="AQ33" s="21">
        <f t="shared" si="2"/>
        <v>0</v>
      </c>
      <c r="AR33" s="21">
        <f t="shared" si="2"/>
        <v>0</v>
      </c>
      <c r="AS33" s="59">
        <f>MIN(AS17:AS25)</f>
        <v>262646</v>
      </c>
      <c r="AT33" s="138">
        <f aca="true" t="shared" si="3" ref="AT33:BP33">MIN(AT17:AT24)</f>
        <v>0</v>
      </c>
      <c r="AU33" s="26">
        <f t="shared" si="3"/>
        <v>0</v>
      </c>
      <c r="AV33" s="34">
        <f t="shared" si="3"/>
        <v>0</v>
      </c>
      <c r="AW33" s="26">
        <f t="shared" si="3"/>
        <v>0</v>
      </c>
      <c r="AX33" s="26">
        <f t="shared" si="3"/>
        <v>0</v>
      </c>
      <c r="AY33" s="34">
        <f t="shared" si="3"/>
        <v>0</v>
      </c>
      <c r="AZ33" s="26">
        <f t="shared" si="3"/>
        <v>0</v>
      </c>
      <c r="BA33" s="26">
        <f t="shared" si="3"/>
        <v>0</v>
      </c>
      <c r="BB33" s="34">
        <f t="shared" si="3"/>
        <v>0</v>
      </c>
      <c r="BC33" s="26">
        <f t="shared" si="3"/>
        <v>129482</v>
      </c>
      <c r="BD33" s="26">
        <f t="shared" si="3"/>
        <v>0</v>
      </c>
      <c r="BE33" s="40">
        <f t="shared" si="3"/>
        <v>62249</v>
      </c>
      <c r="BF33" s="34">
        <f t="shared" si="3"/>
        <v>0</v>
      </c>
      <c r="BG33" s="21">
        <f t="shared" si="3"/>
        <v>2480</v>
      </c>
      <c r="BH33" s="21">
        <f t="shared" si="3"/>
        <v>0</v>
      </c>
      <c r="BI33" s="39">
        <f t="shared" si="3"/>
        <v>26299</v>
      </c>
      <c r="BJ33" s="26">
        <f t="shared" si="3"/>
        <v>0</v>
      </c>
      <c r="BK33" s="26">
        <f t="shared" si="3"/>
        <v>0</v>
      </c>
      <c r="BL33" s="34">
        <f t="shared" si="3"/>
        <v>0</v>
      </c>
      <c r="BM33" s="26">
        <f t="shared" si="3"/>
        <v>0</v>
      </c>
      <c r="BN33" s="26">
        <f t="shared" si="3"/>
        <v>0</v>
      </c>
      <c r="BO33" s="34">
        <f t="shared" si="3"/>
        <v>0</v>
      </c>
      <c r="BP33" s="23">
        <f t="shared" si="3"/>
        <v>0</v>
      </c>
      <c r="BQ33" s="23">
        <f>MIN(BQ17:BQ30)</f>
        <v>0</v>
      </c>
      <c r="BR33" s="55">
        <f>MIN(BR17:BR30)</f>
        <v>0</v>
      </c>
    </row>
    <row r="34" spans="1:70" s="42" customFormat="1" ht="12.75">
      <c r="A34" s="49" t="s">
        <v>30</v>
      </c>
      <c r="B34" s="73">
        <f aca="true" t="shared" si="4" ref="B34:AR34">MAX(B17:B24)</f>
        <v>87565</v>
      </c>
      <c r="C34" s="73">
        <f t="shared" si="4"/>
        <v>53913</v>
      </c>
      <c r="D34" s="74">
        <f t="shared" si="4"/>
        <v>0</v>
      </c>
      <c r="E34" s="45">
        <f t="shared" si="4"/>
        <v>257185</v>
      </c>
      <c r="F34" s="45">
        <f t="shared" si="4"/>
        <v>117264</v>
      </c>
      <c r="G34" s="60">
        <f t="shared" si="4"/>
        <v>839514</v>
      </c>
      <c r="H34" s="45">
        <f t="shared" si="4"/>
        <v>196528</v>
      </c>
      <c r="I34" s="45">
        <f t="shared" si="4"/>
        <v>0</v>
      </c>
      <c r="J34" s="60">
        <f t="shared" si="4"/>
        <v>1281713</v>
      </c>
      <c r="K34" s="45">
        <f t="shared" si="4"/>
        <v>38858</v>
      </c>
      <c r="L34" s="45">
        <f t="shared" si="4"/>
        <v>0</v>
      </c>
      <c r="M34" s="60">
        <f t="shared" si="4"/>
        <v>45459</v>
      </c>
      <c r="N34" s="24">
        <f t="shared" si="4"/>
        <v>76745</v>
      </c>
      <c r="O34" s="24">
        <f t="shared" si="4"/>
        <v>0</v>
      </c>
      <c r="P34" s="56">
        <f t="shared" si="4"/>
        <v>0</v>
      </c>
      <c r="Q34" s="139">
        <f t="shared" si="4"/>
        <v>265565</v>
      </c>
      <c r="R34" s="95">
        <f t="shared" si="4"/>
        <v>39694</v>
      </c>
      <c r="S34" s="96">
        <f t="shared" si="4"/>
        <v>505175</v>
      </c>
      <c r="T34" s="45">
        <f t="shared" si="4"/>
        <v>86910</v>
      </c>
      <c r="U34" s="45">
        <f t="shared" si="4"/>
        <v>394635</v>
      </c>
      <c r="V34" s="60">
        <f t="shared" si="4"/>
        <v>1043894</v>
      </c>
      <c r="W34" s="45">
        <f t="shared" si="4"/>
        <v>36931</v>
      </c>
      <c r="X34" s="45">
        <f t="shared" si="4"/>
        <v>0</v>
      </c>
      <c r="Y34" s="45">
        <f>MAX(Y17:Y24)</f>
        <v>489332</v>
      </c>
      <c r="Z34" s="60">
        <f t="shared" si="4"/>
        <v>2833986</v>
      </c>
      <c r="AA34" s="95">
        <f t="shared" si="4"/>
        <v>0</v>
      </c>
      <c r="AB34" s="95">
        <f t="shared" si="4"/>
        <v>0</v>
      </c>
      <c r="AC34" s="96">
        <f t="shared" si="4"/>
        <v>0</v>
      </c>
      <c r="AD34" s="45">
        <f t="shared" si="4"/>
        <v>511118</v>
      </c>
      <c r="AE34" s="45">
        <f t="shared" si="4"/>
        <v>373595</v>
      </c>
      <c r="AF34" s="60">
        <f t="shared" si="4"/>
        <v>1498461</v>
      </c>
      <c r="AG34" s="45">
        <f t="shared" si="4"/>
        <v>269005</v>
      </c>
      <c r="AH34" s="45">
        <f t="shared" si="4"/>
        <v>150794</v>
      </c>
      <c r="AI34" s="45">
        <f>MAX(AI17:AI24)</f>
        <v>125325</v>
      </c>
      <c r="AJ34" s="60">
        <f t="shared" si="4"/>
        <v>0</v>
      </c>
      <c r="AK34" s="24">
        <f t="shared" si="4"/>
        <v>84017</v>
      </c>
      <c r="AL34" s="24">
        <f t="shared" si="4"/>
        <v>20200</v>
      </c>
      <c r="AM34" s="56">
        <f>MAX(AM17:AM30)</f>
        <v>0</v>
      </c>
      <c r="AN34" s="147">
        <f t="shared" si="4"/>
        <v>189858</v>
      </c>
      <c r="AO34" s="45">
        <f t="shared" si="4"/>
        <v>0</v>
      </c>
      <c r="AP34" s="60">
        <f t="shared" si="4"/>
        <v>29342</v>
      </c>
      <c r="AQ34" s="45">
        <f t="shared" si="4"/>
        <v>494746</v>
      </c>
      <c r="AR34" s="45">
        <f t="shared" si="4"/>
        <v>21140</v>
      </c>
      <c r="AS34" s="61">
        <f>MAX(AS17:AS25)</f>
        <v>426633</v>
      </c>
      <c r="AT34" s="139">
        <f aca="true" t="shared" si="5" ref="AT34:BP34">MAX(AT17:AT24)</f>
        <v>0</v>
      </c>
      <c r="AU34" s="95">
        <f t="shared" si="5"/>
        <v>1500</v>
      </c>
      <c r="AV34" s="96">
        <f t="shared" si="5"/>
        <v>0</v>
      </c>
      <c r="AW34" s="95">
        <f t="shared" si="5"/>
        <v>0</v>
      </c>
      <c r="AX34" s="95">
        <f t="shared" si="5"/>
        <v>0</v>
      </c>
      <c r="AY34" s="96">
        <f t="shared" si="5"/>
        <v>2013</v>
      </c>
      <c r="AZ34" s="95">
        <f t="shared" si="5"/>
        <v>134141</v>
      </c>
      <c r="BA34" s="95">
        <f t="shared" si="5"/>
        <v>567941</v>
      </c>
      <c r="BB34" s="96">
        <f t="shared" si="5"/>
        <v>122785</v>
      </c>
      <c r="BC34" s="95">
        <f t="shared" si="5"/>
        <v>444876</v>
      </c>
      <c r="BD34" s="95">
        <f t="shared" si="5"/>
        <v>16250</v>
      </c>
      <c r="BE34" s="95">
        <f t="shared" si="5"/>
        <v>118199</v>
      </c>
      <c r="BF34" s="96">
        <f t="shared" si="5"/>
        <v>0</v>
      </c>
      <c r="BG34" s="45">
        <f t="shared" si="5"/>
        <v>733451</v>
      </c>
      <c r="BH34" s="45">
        <f t="shared" si="5"/>
        <v>50745</v>
      </c>
      <c r="BI34" s="60">
        <f t="shared" si="5"/>
        <v>190531</v>
      </c>
      <c r="BJ34" s="95">
        <f t="shared" si="5"/>
        <v>62320</v>
      </c>
      <c r="BK34" s="95">
        <f t="shared" si="5"/>
        <v>0</v>
      </c>
      <c r="BL34" s="96">
        <f t="shared" si="5"/>
        <v>0</v>
      </c>
      <c r="BM34" s="95">
        <f t="shared" si="5"/>
        <v>0</v>
      </c>
      <c r="BN34" s="95">
        <f t="shared" si="5"/>
        <v>0</v>
      </c>
      <c r="BO34" s="96">
        <f t="shared" si="5"/>
        <v>0</v>
      </c>
      <c r="BP34" s="24">
        <f t="shared" si="5"/>
        <v>40000</v>
      </c>
      <c r="BQ34" s="24">
        <f>MAX(BQ17:BQ30)</f>
        <v>0</v>
      </c>
      <c r="BR34" s="56">
        <f>MAX(BR17:BR30)</f>
        <v>0</v>
      </c>
    </row>
    <row r="35" spans="1:70" s="42" customFormat="1" ht="12.75">
      <c r="A35" s="47" t="s">
        <v>31</v>
      </c>
      <c r="B35" s="71"/>
      <c r="C35" s="71"/>
      <c r="D35" s="72"/>
      <c r="E35" s="21"/>
      <c r="F35" s="21"/>
      <c r="G35" s="39"/>
      <c r="H35" s="21"/>
      <c r="I35" s="21"/>
      <c r="J35" s="39"/>
      <c r="K35" s="21"/>
      <c r="L35" s="21"/>
      <c r="M35" s="39"/>
      <c r="N35" s="23"/>
      <c r="O35" s="23"/>
      <c r="P35" s="55"/>
      <c r="Q35" s="138"/>
      <c r="R35" s="26"/>
      <c r="S35" s="34"/>
      <c r="T35" s="21"/>
      <c r="U35" s="21"/>
      <c r="V35" s="39"/>
      <c r="W35" s="21"/>
      <c r="X35" s="21"/>
      <c r="Y35" s="100"/>
      <c r="Z35" s="39"/>
      <c r="AA35" s="26"/>
      <c r="AB35" s="26"/>
      <c r="AC35" s="34"/>
      <c r="AD35" s="21"/>
      <c r="AE35" s="21"/>
      <c r="AF35" s="39"/>
      <c r="AG35" s="21"/>
      <c r="AH35" s="21"/>
      <c r="AI35" s="100"/>
      <c r="AJ35" s="39"/>
      <c r="AK35" s="23"/>
      <c r="AL35" s="23"/>
      <c r="AM35" s="55"/>
      <c r="AN35" s="146"/>
      <c r="AO35" s="21"/>
      <c r="AP35" s="39"/>
      <c r="AQ35" s="21"/>
      <c r="AR35" s="21"/>
      <c r="AS35" s="59"/>
      <c r="AT35" s="138"/>
      <c r="AU35" s="26"/>
      <c r="AV35" s="34"/>
      <c r="AW35" s="26"/>
      <c r="AX35" s="26"/>
      <c r="AY35" s="34"/>
      <c r="AZ35" s="26"/>
      <c r="BA35" s="26"/>
      <c r="BB35" s="34"/>
      <c r="BC35" s="26"/>
      <c r="BD35" s="26"/>
      <c r="BE35" s="40"/>
      <c r="BF35" s="34"/>
      <c r="BG35" s="21"/>
      <c r="BH35" s="21"/>
      <c r="BI35" s="39"/>
      <c r="BJ35" s="26"/>
      <c r="BK35" s="26"/>
      <c r="BL35" s="34"/>
      <c r="BM35" s="26"/>
      <c r="BN35" s="26"/>
      <c r="BO35" s="34"/>
      <c r="BP35" s="23"/>
      <c r="BQ35" s="23"/>
      <c r="BR35" s="55"/>
    </row>
    <row r="36" spans="1:70" s="42" customFormat="1" ht="12.75">
      <c r="A36" s="48" t="s">
        <v>28</v>
      </c>
      <c r="B36" s="71">
        <f aca="true" t="shared" si="6" ref="B36:AI36">AVERAGE(B25:B30)</f>
        <v>0</v>
      </c>
      <c r="C36" s="71">
        <f t="shared" si="6"/>
        <v>17251.166666666668</v>
      </c>
      <c r="D36" s="72">
        <f t="shared" si="6"/>
        <v>0</v>
      </c>
      <c r="E36" s="21">
        <f t="shared" si="6"/>
        <v>0</v>
      </c>
      <c r="F36" s="21">
        <f t="shared" si="6"/>
        <v>0</v>
      </c>
      <c r="G36" s="39">
        <f t="shared" si="6"/>
        <v>187956.5</v>
      </c>
      <c r="H36" s="21">
        <f t="shared" si="6"/>
        <v>0</v>
      </c>
      <c r="I36" s="21">
        <f t="shared" si="6"/>
        <v>0</v>
      </c>
      <c r="J36" s="39">
        <f t="shared" si="6"/>
        <v>181979.66666666666</v>
      </c>
      <c r="K36" s="21">
        <f t="shared" si="6"/>
        <v>0</v>
      </c>
      <c r="L36" s="21">
        <f t="shared" si="6"/>
        <v>0</v>
      </c>
      <c r="M36" s="39">
        <f t="shared" si="6"/>
        <v>0</v>
      </c>
      <c r="N36" s="23">
        <f t="shared" si="6"/>
        <v>11926.833333333334</v>
      </c>
      <c r="O36" s="23">
        <f t="shared" si="6"/>
        <v>10004.833333333334</v>
      </c>
      <c r="P36" s="55">
        <f t="shared" si="6"/>
        <v>0</v>
      </c>
      <c r="Q36" s="138">
        <f t="shared" si="6"/>
        <v>0</v>
      </c>
      <c r="R36" s="26">
        <f t="shared" si="6"/>
        <v>0</v>
      </c>
      <c r="S36" s="34">
        <f t="shared" si="6"/>
        <v>176840.83333333334</v>
      </c>
      <c r="T36" s="21">
        <f t="shared" si="6"/>
        <v>769</v>
      </c>
      <c r="U36" s="21">
        <f t="shared" si="6"/>
        <v>0</v>
      </c>
      <c r="V36" s="39">
        <f t="shared" si="6"/>
        <v>37090.166666666664</v>
      </c>
      <c r="W36" s="21">
        <f t="shared" si="6"/>
        <v>0</v>
      </c>
      <c r="X36" s="21">
        <f t="shared" si="6"/>
        <v>0</v>
      </c>
      <c r="Y36" s="100">
        <f>AVERAGE(Y25:Y30)</f>
        <v>0</v>
      </c>
      <c r="Z36" s="39">
        <f t="shared" si="6"/>
        <v>0</v>
      </c>
      <c r="AA36" s="26">
        <f t="shared" si="6"/>
        <v>0</v>
      </c>
      <c r="AB36" s="26">
        <f t="shared" si="6"/>
        <v>0</v>
      </c>
      <c r="AC36" s="34">
        <f t="shared" si="6"/>
        <v>0</v>
      </c>
      <c r="AD36" s="21">
        <f t="shared" si="6"/>
        <v>0</v>
      </c>
      <c r="AE36" s="21">
        <f t="shared" si="6"/>
        <v>0</v>
      </c>
      <c r="AF36" s="39">
        <f t="shared" si="6"/>
        <v>34373.5</v>
      </c>
      <c r="AG36" s="21">
        <f t="shared" si="6"/>
        <v>0</v>
      </c>
      <c r="AH36" s="21">
        <f t="shared" si="6"/>
        <v>11031</v>
      </c>
      <c r="AI36" s="100">
        <f t="shared" si="6"/>
        <v>938</v>
      </c>
      <c r="AJ36" s="39">
        <f aca="true" t="shared" si="7" ref="AJ36:BR36">AVERAGE(AJ25:AJ30)</f>
        <v>0</v>
      </c>
      <c r="AK36" s="23">
        <f t="shared" si="7"/>
        <v>6043</v>
      </c>
      <c r="AL36" s="23">
        <f t="shared" si="7"/>
        <v>8786.166666666666</v>
      </c>
      <c r="AM36" s="55">
        <f t="shared" si="7"/>
        <v>0</v>
      </c>
      <c r="AN36" s="146">
        <f t="shared" si="7"/>
        <v>14670.833333333334</v>
      </c>
      <c r="AO36" s="21">
        <f t="shared" si="7"/>
        <v>0</v>
      </c>
      <c r="AP36" s="39">
        <f t="shared" si="7"/>
        <v>2690.5</v>
      </c>
      <c r="AQ36" s="21">
        <f t="shared" si="7"/>
        <v>463999</v>
      </c>
      <c r="AR36" s="21">
        <f t="shared" si="7"/>
        <v>22700</v>
      </c>
      <c r="AS36" s="59">
        <f t="shared" si="7"/>
        <v>184258.5</v>
      </c>
      <c r="AT36" s="138">
        <f t="shared" si="7"/>
        <v>0</v>
      </c>
      <c r="AU36" s="26">
        <f t="shared" si="7"/>
        <v>0</v>
      </c>
      <c r="AV36" s="34">
        <f t="shared" si="7"/>
        <v>0</v>
      </c>
      <c r="AW36" s="26">
        <f t="shared" si="7"/>
        <v>0</v>
      </c>
      <c r="AX36" s="26">
        <f t="shared" si="7"/>
        <v>0</v>
      </c>
      <c r="AY36" s="34">
        <f t="shared" si="7"/>
        <v>0</v>
      </c>
      <c r="AZ36" s="26">
        <f t="shared" si="7"/>
        <v>0</v>
      </c>
      <c r="BA36" s="26">
        <f t="shared" si="7"/>
        <v>0</v>
      </c>
      <c r="BB36" s="34">
        <f t="shared" si="7"/>
        <v>0</v>
      </c>
      <c r="BC36" s="26">
        <f t="shared" si="7"/>
        <v>26287.833333333332</v>
      </c>
      <c r="BD36" s="26">
        <f t="shared" si="7"/>
        <v>0</v>
      </c>
      <c r="BE36" s="40">
        <f t="shared" si="7"/>
        <v>116583</v>
      </c>
      <c r="BF36" s="34">
        <f>AVERAGE(BF25:BF30)</f>
        <v>0</v>
      </c>
      <c r="BG36" s="21">
        <f t="shared" si="7"/>
        <v>63196.5</v>
      </c>
      <c r="BH36" s="21">
        <f t="shared" si="7"/>
        <v>0</v>
      </c>
      <c r="BI36" s="39">
        <f t="shared" si="7"/>
        <v>53804.666666666664</v>
      </c>
      <c r="BJ36" s="26">
        <f t="shared" si="7"/>
        <v>9094.5</v>
      </c>
      <c r="BK36" s="26">
        <f t="shared" si="7"/>
        <v>0</v>
      </c>
      <c r="BL36" s="34">
        <f t="shared" si="7"/>
        <v>0</v>
      </c>
      <c r="BM36" s="26">
        <f t="shared" si="7"/>
        <v>0</v>
      </c>
      <c r="BN36" s="26">
        <f t="shared" si="7"/>
        <v>0</v>
      </c>
      <c r="BO36" s="34">
        <f t="shared" si="7"/>
        <v>0</v>
      </c>
      <c r="BP36" s="23">
        <f t="shared" si="7"/>
        <v>0</v>
      </c>
      <c r="BQ36" s="23">
        <f t="shared" si="7"/>
        <v>0</v>
      </c>
      <c r="BR36" s="55">
        <f t="shared" si="7"/>
        <v>0</v>
      </c>
    </row>
    <row r="37" spans="1:70" s="42" customFormat="1" ht="12.75">
      <c r="A37" s="48" t="s">
        <v>29</v>
      </c>
      <c r="B37" s="71">
        <f aca="true" t="shared" si="8" ref="B37:AI37">MIN(B25:B30)</f>
        <v>0</v>
      </c>
      <c r="C37" s="71">
        <f t="shared" si="8"/>
        <v>0</v>
      </c>
      <c r="D37" s="72">
        <f t="shared" si="8"/>
        <v>0</v>
      </c>
      <c r="E37" s="21">
        <f t="shared" si="8"/>
        <v>0</v>
      </c>
      <c r="F37" s="21">
        <f t="shared" si="8"/>
        <v>0</v>
      </c>
      <c r="G37" s="39">
        <f t="shared" si="8"/>
        <v>101704</v>
      </c>
      <c r="H37" s="21">
        <f t="shared" si="8"/>
        <v>0</v>
      </c>
      <c r="I37" s="21">
        <f t="shared" si="8"/>
        <v>0</v>
      </c>
      <c r="J37" s="39">
        <f t="shared" si="8"/>
        <v>97355</v>
      </c>
      <c r="K37" s="21">
        <f t="shared" si="8"/>
        <v>0</v>
      </c>
      <c r="L37" s="21">
        <f t="shared" si="8"/>
        <v>0</v>
      </c>
      <c r="M37" s="39">
        <f t="shared" si="8"/>
        <v>0</v>
      </c>
      <c r="N37" s="23">
        <f t="shared" si="8"/>
        <v>0</v>
      </c>
      <c r="O37" s="23">
        <f t="shared" si="8"/>
        <v>0</v>
      </c>
      <c r="P37" s="55">
        <f t="shared" si="8"/>
        <v>0</v>
      </c>
      <c r="Q37" s="138">
        <f t="shared" si="8"/>
        <v>0</v>
      </c>
      <c r="R37" s="26">
        <f t="shared" si="8"/>
        <v>0</v>
      </c>
      <c r="S37" s="34">
        <f t="shared" si="8"/>
        <v>20450</v>
      </c>
      <c r="T37" s="21">
        <f t="shared" si="8"/>
        <v>0</v>
      </c>
      <c r="U37" s="21">
        <f t="shared" si="8"/>
        <v>0</v>
      </c>
      <c r="V37" s="39">
        <f t="shared" si="8"/>
        <v>425</v>
      </c>
      <c r="W37" s="21">
        <f t="shared" si="8"/>
        <v>0</v>
      </c>
      <c r="X37" s="21">
        <f t="shared" si="8"/>
        <v>0</v>
      </c>
      <c r="Y37" s="100">
        <f>MIN(Y25:Y30)</f>
        <v>0</v>
      </c>
      <c r="Z37" s="39">
        <f t="shared" si="8"/>
        <v>0</v>
      </c>
      <c r="AA37" s="26">
        <f t="shared" si="8"/>
        <v>0</v>
      </c>
      <c r="AB37" s="26">
        <f t="shared" si="8"/>
        <v>0</v>
      </c>
      <c r="AC37" s="34">
        <f t="shared" si="8"/>
        <v>0</v>
      </c>
      <c r="AD37" s="21">
        <f t="shared" si="8"/>
        <v>0</v>
      </c>
      <c r="AE37" s="21">
        <f t="shared" si="8"/>
        <v>0</v>
      </c>
      <c r="AF37" s="39">
        <f t="shared" si="8"/>
        <v>0</v>
      </c>
      <c r="AG37" s="21">
        <f t="shared" si="8"/>
        <v>0</v>
      </c>
      <c r="AH37" s="21">
        <f t="shared" si="8"/>
        <v>0</v>
      </c>
      <c r="AI37" s="100">
        <f t="shared" si="8"/>
        <v>0</v>
      </c>
      <c r="AJ37" s="39">
        <f aca="true" t="shared" si="9" ref="AJ37:BR37">MIN(AJ25:AJ30)</f>
        <v>0</v>
      </c>
      <c r="AK37" s="23">
        <f t="shared" si="9"/>
        <v>0</v>
      </c>
      <c r="AL37" s="23">
        <f t="shared" si="9"/>
        <v>0</v>
      </c>
      <c r="AM37" s="55">
        <f t="shared" si="9"/>
        <v>0</v>
      </c>
      <c r="AN37" s="146">
        <f t="shared" si="9"/>
        <v>0</v>
      </c>
      <c r="AO37" s="21">
        <f t="shared" si="9"/>
        <v>0</v>
      </c>
      <c r="AP37" s="39">
        <f t="shared" si="9"/>
        <v>0</v>
      </c>
      <c r="AQ37" s="21">
        <f t="shared" si="9"/>
        <v>35843</v>
      </c>
      <c r="AR37" s="21">
        <f t="shared" si="9"/>
        <v>0</v>
      </c>
      <c r="AS37" s="59">
        <f t="shared" si="9"/>
        <v>115178</v>
      </c>
      <c r="AT37" s="138">
        <f t="shared" si="9"/>
        <v>0</v>
      </c>
      <c r="AU37" s="26">
        <f t="shared" si="9"/>
        <v>0</v>
      </c>
      <c r="AV37" s="34">
        <f t="shared" si="9"/>
        <v>0</v>
      </c>
      <c r="AW37" s="26">
        <f t="shared" si="9"/>
        <v>0</v>
      </c>
      <c r="AX37" s="26">
        <f t="shared" si="9"/>
        <v>0</v>
      </c>
      <c r="AY37" s="34">
        <f t="shared" si="9"/>
        <v>0</v>
      </c>
      <c r="AZ37" s="26">
        <f t="shared" si="9"/>
        <v>0</v>
      </c>
      <c r="BA37" s="26">
        <f t="shared" si="9"/>
        <v>0</v>
      </c>
      <c r="BB37" s="34">
        <f t="shared" si="9"/>
        <v>0</v>
      </c>
      <c r="BC37" s="26">
        <f t="shared" si="9"/>
        <v>0</v>
      </c>
      <c r="BD37" s="26">
        <f t="shared" si="9"/>
        <v>0</v>
      </c>
      <c r="BE37" s="40">
        <f t="shared" si="9"/>
        <v>79135</v>
      </c>
      <c r="BF37" s="34">
        <f>MIN(BF25:BF30)</f>
        <v>0</v>
      </c>
      <c r="BG37" s="21">
        <f t="shared" si="9"/>
        <v>38224</v>
      </c>
      <c r="BH37" s="21">
        <f t="shared" si="9"/>
        <v>0</v>
      </c>
      <c r="BI37" s="39">
        <f t="shared" si="9"/>
        <v>47468</v>
      </c>
      <c r="BJ37" s="26">
        <f t="shared" si="9"/>
        <v>0</v>
      </c>
      <c r="BK37" s="26">
        <f t="shared" si="9"/>
        <v>0</v>
      </c>
      <c r="BL37" s="34">
        <f t="shared" si="9"/>
        <v>0</v>
      </c>
      <c r="BM37" s="26">
        <f t="shared" si="9"/>
        <v>0</v>
      </c>
      <c r="BN37" s="26">
        <f t="shared" si="9"/>
        <v>0</v>
      </c>
      <c r="BO37" s="34">
        <f t="shared" si="9"/>
        <v>0</v>
      </c>
      <c r="BP37" s="23">
        <f t="shared" si="9"/>
        <v>0</v>
      </c>
      <c r="BQ37" s="23">
        <f t="shared" si="9"/>
        <v>0</v>
      </c>
      <c r="BR37" s="55">
        <f t="shared" si="9"/>
        <v>0</v>
      </c>
    </row>
    <row r="38" spans="1:70" s="42" customFormat="1" ht="13.5" thickBot="1">
      <c r="A38" s="50" t="s">
        <v>30</v>
      </c>
      <c r="B38" s="75">
        <f aca="true" t="shared" si="10" ref="B38:AI38">MAX(B25:B30)</f>
        <v>0</v>
      </c>
      <c r="C38" s="75">
        <f t="shared" si="10"/>
        <v>78782</v>
      </c>
      <c r="D38" s="76">
        <f t="shared" si="10"/>
        <v>0</v>
      </c>
      <c r="E38" s="46">
        <f t="shared" si="10"/>
        <v>0</v>
      </c>
      <c r="F38" s="46">
        <f t="shared" si="10"/>
        <v>0</v>
      </c>
      <c r="G38" s="62">
        <f t="shared" si="10"/>
        <v>214556</v>
      </c>
      <c r="H38" s="46">
        <f t="shared" si="10"/>
        <v>0</v>
      </c>
      <c r="I38" s="46">
        <f t="shared" si="10"/>
        <v>0</v>
      </c>
      <c r="J38" s="62">
        <f t="shared" si="10"/>
        <v>212525</v>
      </c>
      <c r="K38" s="46">
        <f t="shared" si="10"/>
        <v>0</v>
      </c>
      <c r="L38" s="46">
        <f t="shared" si="10"/>
        <v>0</v>
      </c>
      <c r="M38" s="62">
        <f t="shared" si="10"/>
        <v>0</v>
      </c>
      <c r="N38" s="84">
        <f t="shared" si="10"/>
        <v>28400</v>
      </c>
      <c r="O38" s="84">
        <f t="shared" si="10"/>
        <v>60029</v>
      </c>
      <c r="P38" s="85">
        <f t="shared" si="10"/>
        <v>0</v>
      </c>
      <c r="Q38" s="140">
        <f t="shared" si="10"/>
        <v>0</v>
      </c>
      <c r="R38" s="27">
        <f t="shared" si="10"/>
        <v>0</v>
      </c>
      <c r="S38" s="35">
        <f t="shared" si="10"/>
        <v>342200</v>
      </c>
      <c r="T38" s="46">
        <f t="shared" si="10"/>
        <v>1822</v>
      </c>
      <c r="U38" s="46">
        <f t="shared" si="10"/>
        <v>0</v>
      </c>
      <c r="V38" s="62">
        <f t="shared" si="10"/>
        <v>50821</v>
      </c>
      <c r="W38" s="46">
        <f t="shared" si="10"/>
        <v>0</v>
      </c>
      <c r="X38" s="46">
        <f t="shared" si="10"/>
        <v>0</v>
      </c>
      <c r="Y38" s="46">
        <f>MAX(Y25:Y30)</f>
        <v>0</v>
      </c>
      <c r="Z38" s="62">
        <f t="shared" si="10"/>
        <v>0</v>
      </c>
      <c r="AA38" s="27">
        <f t="shared" si="10"/>
        <v>0</v>
      </c>
      <c r="AB38" s="27">
        <f t="shared" si="10"/>
        <v>0</v>
      </c>
      <c r="AC38" s="35">
        <f t="shared" si="10"/>
        <v>0</v>
      </c>
      <c r="AD38" s="46">
        <f t="shared" si="10"/>
        <v>0</v>
      </c>
      <c r="AE38" s="46">
        <f t="shared" si="10"/>
        <v>0</v>
      </c>
      <c r="AF38" s="62">
        <f t="shared" si="10"/>
        <v>206241</v>
      </c>
      <c r="AG38" s="46">
        <f t="shared" si="10"/>
        <v>0</v>
      </c>
      <c r="AH38" s="46">
        <f t="shared" si="10"/>
        <v>66186</v>
      </c>
      <c r="AI38" s="46">
        <f t="shared" si="10"/>
        <v>5628</v>
      </c>
      <c r="AJ38" s="62">
        <f aca="true" t="shared" si="11" ref="AJ38:BR38">MAX(AJ25:AJ30)</f>
        <v>0</v>
      </c>
      <c r="AK38" s="84">
        <f t="shared" si="11"/>
        <v>20082</v>
      </c>
      <c r="AL38" s="84">
        <f t="shared" si="11"/>
        <v>17467</v>
      </c>
      <c r="AM38" s="85">
        <f t="shared" si="11"/>
        <v>0</v>
      </c>
      <c r="AN38" s="148">
        <f t="shared" si="11"/>
        <v>74160</v>
      </c>
      <c r="AO38" s="46">
        <f t="shared" si="11"/>
        <v>0</v>
      </c>
      <c r="AP38" s="62">
        <f t="shared" si="11"/>
        <v>9201</v>
      </c>
      <c r="AQ38" s="46">
        <f t="shared" si="11"/>
        <v>719367</v>
      </c>
      <c r="AR38" s="46">
        <f t="shared" si="11"/>
        <v>100800</v>
      </c>
      <c r="AS38" s="63">
        <f t="shared" si="11"/>
        <v>309678</v>
      </c>
      <c r="AT38" s="140">
        <f t="shared" si="11"/>
        <v>0</v>
      </c>
      <c r="AU38" s="27">
        <f t="shared" si="11"/>
        <v>0</v>
      </c>
      <c r="AV38" s="35">
        <f t="shared" si="11"/>
        <v>0</v>
      </c>
      <c r="AW38" s="27">
        <f t="shared" si="11"/>
        <v>0</v>
      </c>
      <c r="AX38" s="27">
        <f t="shared" si="11"/>
        <v>0</v>
      </c>
      <c r="AY38" s="35">
        <f t="shared" si="11"/>
        <v>0</v>
      </c>
      <c r="AZ38" s="27">
        <f t="shared" si="11"/>
        <v>0</v>
      </c>
      <c r="BA38" s="27">
        <f t="shared" si="11"/>
        <v>0</v>
      </c>
      <c r="BB38" s="35">
        <f t="shared" si="11"/>
        <v>0</v>
      </c>
      <c r="BC38" s="27">
        <f t="shared" si="11"/>
        <v>90030</v>
      </c>
      <c r="BD38" s="27">
        <f t="shared" si="11"/>
        <v>0</v>
      </c>
      <c r="BE38" s="27">
        <f t="shared" si="11"/>
        <v>134177</v>
      </c>
      <c r="BF38" s="35">
        <f>MAX(BF25:BF30)</f>
        <v>0</v>
      </c>
      <c r="BG38" s="46">
        <f t="shared" si="11"/>
        <v>150618</v>
      </c>
      <c r="BH38" s="46">
        <f t="shared" si="11"/>
        <v>0</v>
      </c>
      <c r="BI38" s="62">
        <f t="shared" si="11"/>
        <v>58099</v>
      </c>
      <c r="BJ38" s="27">
        <f t="shared" si="11"/>
        <v>35955</v>
      </c>
      <c r="BK38" s="27">
        <f t="shared" si="11"/>
        <v>0</v>
      </c>
      <c r="BL38" s="35">
        <f t="shared" si="11"/>
        <v>0</v>
      </c>
      <c r="BM38" s="27">
        <f t="shared" si="11"/>
        <v>0</v>
      </c>
      <c r="BN38" s="27">
        <f t="shared" si="11"/>
        <v>0</v>
      </c>
      <c r="BO38" s="35">
        <f t="shared" si="11"/>
        <v>0</v>
      </c>
      <c r="BP38" s="84">
        <f t="shared" si="11"/>
        <v>0</v>
      </c>
      <c r="BQ38" s="84">
        <f t="shared" si="11"/>
        <v>0</v>
      </c>
      <c r="BR38" s="85">
        <f t="shared" si="11"/>
        <v>0</v>
      </c>
    </row>
    <row r="39" spans="14:68" ht="12.75">
      <c r="N39" s="2" t="s">
        <v>47</v>
      </c>
      <c r="AK39" s="2" t="s">
        <v>53</v>
      </c>
      <c r="AZ39" s="3"/>
      <c r="BP39" s="2" t="s">
        <v>57</v>
      </c>
    </row>
    <row r="40" spans="14:68" ht="12.75">
      <c r="N40" s="2" t="s">
        <v>48</v>
      </c>
      <c r="AK40" s="2" t="s">
        <v>54</v>
      </c>
      <c r="BP40" s="2" t="s">
        <v>58</v>
      </c>
    </row>
    <row r="41" spans="14:68" ht="12.75">
      <c r="N41" s="2" t="s">
        <v>50</v>
      </c>
      <c r="AK41" s="2" t="s">
        <v>56</v>
      </c>
      <c r="BP41" s="2" t="s">
        <v>59</v>
      </c>
    </row>
    <row r="42" spans="14:37" ht="12.75">
      <c r="N42" s="2" t="s">
        <v>49</v>
      </c>
      <c r="AK42" s="2" t="s">
        <v>55</v>
      </c>
    </row>
    <row r="43" ht="12.75">
      <c r="N43" s="2" t="s">
        <v>51</v>
      </c>
    </row>
    <row r="44" ht="12.75">
      <c r="N44" s="2" t="s">
        <v>52</v>
      </c>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Y43"/>
  <sheetViews>
    <sheetView workbookViewId="0" topLeftCell="A1">
      <pane xSplit="1" ySplit="5" topLeftCell="B6" activePane="bottomRight" state="frozen"/>
      <selection pane="topLeft" activeCell="A1" sqref="A1"/>
      <selection pane="topRight" activeCell="B1" sqref="B1"/>
      <selection pane="bottomLeft" activeCell="A5" sqref="A5"/>
      <selection pane="bottomRight" activeCell="B6" sqref="B6"/>
    </sheetView>
  </sheetViews>
  <sheetFormatPr defaultColWidth="9.33203125" defaultRowHeight="12.75"/>
  <cols>
    <col min="1" max="1" width="11.83203125" style="0" bestFit="1" customWidth="1"/>
    <col min="2" max="6" width="10.33203125" style="2" customWidth="1"/>
    <col min="7" max="7" width="11.83203125" style="2" customWidth="1"/>
    <col min="8" max="12" width="10.33203125" style="2" customWidth="1"/>
    <col min="13" max="13" width="11.83203125" style="2" customWidth="1"/>
    <col min="14" max="15" width="10.33203125" style="4" customWidth="1"/>
    <col min="16" max="16" width="11.83203125" style="4" customWidth="1"/>
    <col min="17" max="18" width="9.33203125" style="179" customWidth="1"/>
  </cols>
  <sheetData>
    <row r="1" ht="15.75">
      <c r="A1" s="1" t="s">
        <v>32</v>
      </c>
    </row>
    <row r="3" spans="1:22" ht="12.75">
      <c r="A3" s="5"/>
      <c r="B3" s="6"/>
      <c r="C3" s="7" t="s">
        <v>5</v>
      </c>
      <c r="D3" s="29"/>
      <c r="E3" s="6"/>
      <c r="F3" s="7" t="s">
        <v>11</v>
      </c>
      <c r="G3" s="29"/>
      <c r="H3" s="6"/>
      <c r="I3" s="7" t="s">
        <v>14</v>
      </c>
      <c r="J3" s="29"/>
      <c r="K3" s="6"/>
      <c r="L3" s="7" t="s">
        <v>18</v>
      </c>
      <c r="M3" s="29"/>
      <c r="O3" s="8" t="s">
        <v>19</v>
      </c>
      <c r="P3" s="36"/>
      <c r="Q3" s="179" t="s">
        <v>66</v>
      </c>
      <c r="R3" s="183"/>
      <c r="S3" s="4"/>
      <c r="T3" s="8" t="s">
        <v>65</v>
      </c>
      <c r="U3" s="195"/>
      <c r="V3" s="36"/>
    </row>
    <row r="4" spans="1:22" ht="12.75">
      <c r="A4" s="9" t="s">
        <v>20</v>
      </c>
      <c r="B4" s="10" t="s">
        <v>21</v>
      </c>
      <c r="C4" s="10"/>
      <c r="D4" s="30"/>
      <c r="E4" s="10" t="s">
        <v>21</v>
      </c>
      <c r="F4" s="10"/>
      <c r="G4" s="30"/>
      <c r="H4" s="10" t="s">
        <v>21</v>
      </c>
      <c r="I4" s="10"/>
      <c r="J4" s="30"/>
      <c r="K4" s="10" t="s">
        <v>21</v>
      </c>
      <c r="L4" s="10"/>
      <c r="M4" s="30"/>
      <c r="N4" s="12" t="s">
        <v>21</v>
      </c>
      <c r="O4" s="12"/>
      <c r="P4" s="37"/>
      <c r="Q4" s="180" t="s">
        <v>78</v>
      </c>
      <c r="R4" s="184" t="s">
        <v>45</v>
      </c>
      <c r="S4" s="12" t="s">
        <v>21</v>
      </c>
      <c r="T4" s="12"/>
      <c r="U4" s="196"/>
      <c r="V4" s="37"/>
    </row>
    <row r="5" spans="1:22" ht="13.5" thickBot="1">
      <c r="A5" s="13" t="s">
        <v>22</v>
      </c>
      <c r="B5" s="14" t="s">
        <v>23</v>
      </c>
      <c r="C5" s="14" t="s">
        <v>24</v>
      </c>
      <c r="D5" s="31" t="s">
        <v>25</v>
      </c>
      <c r="E5" s="14" t="s">
        <v>23</v>
      </c>
      <c r="F5" s="14" t="s">
        <v>24</v>
      </c>
      <c r="G5" s="31" t="s">
        <v>25</v>
      </c>
      <c r="H5" s="14" t="s">
        <v>23</v>
      </c>
      <c r="I5" s="14" t="s">
        <v>24</v>
      </c>
      <c r="J5" s="31" t="s">
        <v>25</v>
      </c>
      <c r="K5" s="14" t="s">
        <v>23</v>
      </c>
      <c r="L5" s="14" t="s">
        <v>24</v>
      </c>
      <c r="M5" s="31" t="s">
        <v>25</v>
      </c>
      <c r="N5" s="16" t="s">
        <v>23</v>
      </c>
      <c r="O5" s="16" t="s">
        <v>24</v>
      </c>
      <c r="P5" s="38" t="s">
        <v>25</v>
      </c>
      <c r="Q5" s="181" t="s">
        <v>64</v>
      </c>
      <c r="R5" s="185" t="s">
        <v>64</v>
      </c>
      <c r="S5" s="16" t="s">
        <v>23</v>
      </c>
      <c r="T5" s="16" t="s">
        <v>24</v>
      </c>
      <c r="U5" s="197" t="s">
        <v>25</v>
      </c>
      <c r="V5" s="201" t="s">
        <v>64</v>
      </c>
    </row>
    <row r="6" spans="1:25" ht="12.75">
      <c r="A6" s="9">
        <v>1980</v>
      </c>
      <c r="B6" s="18">
        <f>'Rel. by Popn'!B7+'Rel. by Popn'!E7+'Rel. by Popn'!H7+'Rel. by Popn'!K7+'Rel. by Popn'!N7</f>
        <v>0</v>
      </c>
      <c r="C6" s="19">
        <v>2306693</v>
      </c>
      <c r="D6" s="32">
        <v>1080029</v>
      </c>
      <c r="E6" s="18">
        <f>'Rel. by Popn'!Q7+'Rel. by Popn'!T7+'Rel. by Popn'!W7+'Rel. by Popn'!AA7+'Rel. by Popn'!AD7+'Rel. by Popn'!AG7+'Rel. by Popn'!AK7</f>
        <v>0</v>
      </c>
      <c r="F6" s="19">
        <v>3528695</v>
      </c>
      <c r="G6" s="32">
        <v>9170267</v>
      </c>
      <c r="H6" s="18">
        <f>'Rel. by Popn'!AN7+'Rel. by Popn'!AQ7</f>
        <v>0</v>
      </c>
      <c r="I6" s="19">
        <v>0</v>
      </c>
      <c r="J6" s="32">
        <v>351660</v>
      </c>
      <c r="K6" s="18">
        <f>'Rel. by Popn'!AT7+'Rel. by Popn'!AW7+'Rel. by Popn'!AZ7+'Rel. by Popn'!BC7+'Rel. by Popn'!BG7+'Rel. by Popn'!BJ7+'Rel. by Popn'!BM7+'Rel. by Popn'!BP7</f>
        <v>0</v>
      </c>
      <c r="L6" s="19">
        <v>0</v>
      </c>
      <c r="M6" s="32">
        <v>7232430</v>
      </c>
      <c r="N6" s="20">
        <f aca="true" t="shared" si="0" ref="N6:N11">B6+E6+H6+K6</f>
        <v>0</v>
      </c>
      <c r="O6" s="21">
        <f>C6+F6+I6+L6</f>
        <v>5835388</v>
      </c>
      <c r="P6" s="39">
        <f aca="true" t="shared" si="1" ref="O6:P10">D6+G6+J6+M6</f>
        <v>17834386</v>
      </c>
      <c r="Q6" s="182">
        <f>SUM(N6:P6)/1000000</f>
        <v>23.669774</v>
      </c>
      <c r="R6" s="186">
        <f>('Rel. by Popn'!Z7+'Rel. by Popn'!AJ7+'Rel. by Popn'!BF7)/1000000</f>
        <v>14.817346</v>
      </c>
      <c r="S6" s="187">
        <f>N6/1000000</f>
        <v>0</v>
      </c>
      <c r="T6" s="188">
        <f>O6/1000000</f>
        <v>5.835388</v>
      </c>
      <c r="U6" s="198">
        <f>(P6/1000000)-R6</f>
        <v>3.017039999999998</v>
      </c>
      <c r="V6" s="202">
        <f>SUM(S6:U6)</f>
        <v>8.852427999999998</v>
      </c>
      <c r="Y6" s="2"/>
    </row>
    <row r="7" spans="1:25" ht="12.75">
      <c r="A7" s="9">
        <v>1981</v>
      </c>
      <c r="B7" s="18">
        <f>'Rel. by Popn'!B8+'Rel. by Popn'!E8+'Rel. by Popn'!H8+'Rel. by Popn'!K8+'Rel. by Popn'!N8</f>
        <v>0</v>
      </c>
      <c r="C7" s="19">
        <v>2666868</v>
      </c>
      <c r="D7" s="32">
        <v>1817864</v>
      </c>
      <c r="E7" s="18">
        <f>'Rel. by Popn'!Q8+'Rel. by Popn'!T8+'Rel. by Popn'!W8+'Rel. by Popn'!AA8+'Rel. by Popn'!AD8+'Rel. by Popn'!AG8+'Rel. by Popn'!AK8</f>
        <v>0</v>
      </c>
      <c r="F7" s="19">
        <v>4032634</v>
      </c>
      <c r="G7" s="32">
        <v>13781142</v>
      </c>
      <c r="H7" s="18">
        <f>'Rel. by Popn'!AN8+'Rel. by Popn'!AQ8</f>
        <v>0</v>
      </c>
      <c r="I7" s="19">
        <v>0</v>
      </c>
      <c r="J7" s="32">
        <v>225769</v>
      </c>
      <c r="K7" s="18">
        <f>'Rel. by Popn'!AT8+'Rel. by Popn'!AW8+'Rel. by Popn'!AZ8+'Rel. by Popn'!BC8+'Rel. by Popn'!BG8+'Rel. by Popn'!BJ8+'Rel. by Popn'!BM8+'Rel. by Popn'!BP8</f>
        <v>0</v>
      </c>
      <c r="L7" s="19">
        <v>0</v>
      </c>
      <c r="M7" s="32">
        <v>11927049</v>
      </c>
      <c r="N7" s="20">
        <f t="shared" si="0"/>
        <v>0</v>
      </c>
      <c r="O7" s="21">
        <f t="shared" si="1"/>
        <v>6699502</v>
      </c>
      <c r="P7" s="39">
        <f t="shared" si="1"/>
        <v>27751824</v>
      </c>
      <c r="Q7" s="182">
        <f aca="true" t="shared" si="2" ref="Q7:Q29">SUM(N7:P7)/1000000</f>
        <v>34.451326</v>
      </c>
      <c r="R7" s="186">
        <f>('Rel. by Popn'!Z8+'Rel. by Popn'!AJ8+'Rel. by Popn'!BF8)/1000000</f>
        <v>23.852408</v>
      </c>
      <c r="S7" s="189">
        <f aca="true" t="shared" si="3" ref="S7:S29">N7/1000000</f>
        <v>0</v>
      </c>
      <c r="T7" s="190">
        <f aca="true" t="shared" si="4" ref="T7:T29">O7/1000000</f>
        <v>6.699502</v>
      </c>
      <c r="U7" s="199">
        <f aca="true" t="shared" si="5" ref="U7:U29">(P7/1000000)-R7</f>
        <v>3.8994159999999987</v>
      </c>
      <c r="V7" s="203">
        <f aca="true" t="shared" si="6" ref="V7:V29">SUM(S7:U7)</f>
        <v>10.598917999999998</v>
      </c>
      <c r="Y7" s="2"/>
    </row>
    <row r="8" spans="1:25" ht="12.75">
      <c r="A8" s="9">
        <v>1982</v>
      </c>
      <c r="B8" s="18">
        <f>'Rel. by Popn'!B9+'Rel. by Popn'!E9+'Rel. by Popn'!H9+'Rel. by Popn'!K9+'Rel. by Popn'!N9</f>
        <v>0</v>
      </c>
      <c r="C8" s="19">
        <v>64649</v>
      </c>
      <c r="D8" s="32">
        <v>1723028</v>
      </c>
      <c r="E8" s="18">
        <f>'Rel. by Popn'!Q9+'Rel. by Popn'!T9+'Rel. by Popn'!W9+'Rel. by Popn'!AA9+'Rel. by Popn'!AD9+'Rel. by Popn'!AG9+'Rel. by Popn'!AK9</f>
        <v>0</v>
      </c>
      <c r="F8" s="19">
        <v>3317069</v>
      </c>
      <c r="G8" s="32">
        <v>22705100</v>
      </c>
      <c r="H8" s="18">
        <f>'Rel. by Popn'!AN9+'Rel. by Popn'!AQ9</f>
        <v>0</v>
      </c>
      <c r="I8" s="19">
        <v>0</v>
      </c>
      <c r="J8" s="32">
        <v>226727</v>
      </c>
      <c r="K8" s="18">
        <f>'Rel. by Popn'!AT9+'Rel. by Popn'!AW9+'Rel. by Popn'!AZ9+'Rel. by Popn'!BC9+'Rel. by Popn'!BG9+'Rel. by Popn'!BJ9+'Rel. by Popn'!BM9+'Rel. by Popn'!BP9</f>
        <v>0</v>
      </c>
      <c r="L8" s="19">
        <v>0</v>
      </c>
      <c r="M8" s="32">
        <v>2593400</v>
      </c>
      <c r="N8" s="20">
        <f t="shared" si="0"/>
        <v>0</v>
      </c>
      <c r="O8" s="21">
        <f t="shared" si="1"/>
        <v>3381718</v>
      </c>
      <c r="P8" s="39">
        <f t="shared" si="1"/>
        <v>27248255</v>
      </c>
      <c r="Q8" s="182">
        <f t="shared" si="2"/>
        <v>30.629973</v>
      </c>
      <c r="R8" s="186">
        <f>('Rel. by Popn'!Z9+'Rel. by Popn'!AJ9+'Rel. by Popn'!BF9)/1000000</f>
        <v>23.107316</v>
      </c>
      <c r="S8" s="189">
        <f t="shared" si="3"/>
        <v>0</v>
      </c>
      <c r="T8" s="190">
        <f t="shared" si="4"/>
        <v>3.381718</v>
      </c>
      <c r="U8" s="199">
        <f t="shared" si="5"/>
        <v>4.1409389999999995</v>
      </c>
      <c r="V8" s="203">
        <f t="shared" si="6"/>
        <v>7.522656999999999</v>
      </c>
      <c r="Y8" s="2"/>
    </row>
    <row r="9" spans="1:25" ht="12.75">
      <c r="A9" s="9">
        <v>1983</v>
      </c>
      <c r="B9" s="18">
        <f>'Rel. by Popn'!B10+'Rel. by Popn'!E10+'Rel. by Popn'!H10+'Rel. by Popn'!K10+'Rel. by Popn'!N10</f>
        <v>0</v>
      </c>
      <c r="C9" s="19">
        <v>214196</v>
      </c>
      <c r="D9" s="32">
        <v>855587</v>
      </c>
      <c r="E9" s="18">
        <f>'Rel. by Popn'!Q10+'Rel. by Popn'!T10+'Rel. by Popn'!W10+'Rel. by Popn'!AA10+'Rel. by Popn'!AD10+'Rel. by Popn'!AG10+'Rel. by Popn'!AK10</f>
        <v>0</v>
      </c>
      <c r="F9" s="19">
        <v>1728818</v>
      </c>
      <c r="G9" s="32">
        <v>16574723</v>
      </c>
      <c r="H9" s="18">
        <f>'Rel. by Popn'!AN10+'Rel. by Popn'!AQ10</f>
        <v>0</v>
      </c>
      <c r="I9" s="19">
        <v>0</v>
      </c>
      <c r="J9" s="32">
        <v>149509</v>
      </c>
      <c r="K9" s="18">
        <f>'Rel. by Popn'!AT10+'Rel. by Popn'!AW10+'Rel. by Popn'!AZ10+'Rel. by Popn'!BC10+'Rel. by Popn'!BG10+'Rel. by Popn'!BJ10+'Rel. by Popn'!BM10+'Rel. by Popn'!BP10</f>
        <v>0</v>
      </c>
      <c r="L9" s="19">
        <v>80500</v>
      </c>
      <c r="M9" s="32">
        <v>1405236</v>
      </c>
      <c r="N9" s="20">
        <f t="shared" si="0"/>
        <v>0</v>
      </c>
      <c r="O9" s="21">
        <f t="shared" si="1"/>
        <v>2023514</v>
      </c>
      <c r="P9" s="39">
        <f t="shared" si="1"/>
        <v>18985055</v>
      </c>
      <c r="Q9" s="182">
        <f t="shared" si="2"/>
        <v>21.008569</v>
      </c>
      <c r="R9" s="186">
        <f>('Rel. by Popn'!Z10+'Rel. by Popn'!AJ10+'Rel. by Popn'!BF10)/1000000</f>
        <v>16.158285</v>
      </c>
      <c r="S9" s="189">
        <f t="shared" si="3"/>
        <v>0</v>
      </c>
      <c r="T9" s="190">
        <f t="shared" si="4"/>
        <v>2.023514</v>
      </c>
      <c r="U9" s="199">
        <f t="shared" si="5"/>
        <v>2.82677</v>
      </c>
      <c r="V9" s="203">
        <f t="shared" si="6"/>
        <v>4.850284</v>
      </c>
      <c r="Y9" s="2"/>
    </row>
    <row r="10" spans="1:25" ht="12.75">
      <c r="A10" s="9">
        <v>1984</v>
      </c>
      <c r="B10" s="18">
        <f>'Rel. by Popn'!B11+'Rel. by Popn'!E11+'Rel. by Popn'!H11+'Rel. by Popn'!K11+'Rel. by Popn'!N11</f>
        <v>0</v>
      </c>
      <c r="C10" s="19">
        <v>0</v>
      </c>
      <c r="D10" s="32">
        <v>1913433</v>
      </c>
      <c r="E10" s="18">
        <f>'Rel. by Popn'!Q11+'Rel. by Popn'!T11+'Rel. by Popn'!W11+'Rel. by Popn'!AA11+'Rel. by Popn'!AD11+'Rel. by Popn'!AG11+'Rel. by Popn'!AK11</f>
        <v>0</v>
      </c>
      <c r="F10" s="19">
        <v>1378224</v>
      </c>
      <c r="G10" s="32">
        <v>10492388</v>
      </c>
      <c r="H10" s="18">
        <f>'Rel. by Popn'!AN11+'Rel. by Popn'!AQ11</f>
        <v>0</v>
      </c>
      <c r="I10" s="19">
        <v>0</v>
      </c>
      <c r="J10" s="32">
        <v>586543</v>
      </c>
      <c r="K10" s="18">
        <f>'Rel. by Popn'!AT11+'Rel. by Popn'!AW11+'Rel. by Popn'!AZ11+'Rel. by Popn'!BC11+'Rel. by Popn'!BG11+'Rel. by Popn'!BJ11+'Rel. by Popn'!BM11+'Rel. by Popn'!BP11</f>
        <v>0</v>
      </c>
      <c r="L10" s="19">
        <v>16001</v>
      </c>
      <c r="M10" s="32">
        <v>2386369</v>
      </c>
      <c r="N10" s="20">
        <f t="shared" si="0"/>
        <v>0</v>
      </c>
      <c r="O10" s="21">
        <f t="shared" si="1"/>
        <v>1394225</v>
      </c>
      <c r="P10" s="39">
        <f t="shared" si="1"/>
        <v>15378733</v>
      </c>
      <c r="Q10" s="182">
        <f t="shared" si="2"/>
        <v>16.772958</v>
      </c>
      <c r="R10" s="186">
        <f>('Rel. by Popn'!Z11+'Rel. by Popn'!AJ11+'Rel. by Popn'!BF11)/1000000</f>
        <v>10.919396</v>
      </c>
      <c r="S10" s="189">
        <f t="shared" si="3"/>
        <v>0</v>
      </c>
      <c r="T10" s="190">
        <f t="shared" si="4"/>
        <v>1.394225</v>
      </c>
      <c r="U10" s="199">
        <f t="shared" si="5"/>
        <v>4.459337</v>
      </c>
      <c r="V10" s="203">
        <f t="shared" si="6"/>
        <v>5.853562</v>
      </c>
      <c r="Y10" s="2"/>
    </row>
    <row r="11" spans="1:25" ht="12.75">
      <c r="A11" s="9">
        <v>1985</v>
      </c>
      <c r="B11" s="178">
        <f>'Rel. by Popn'!B12+'Rel. by Popn'!E12+'Rel. by Popn'!H12+'Rel. by Popn'!K12+'Rel. by Popn'!N12</f>
        <v>2015785</v>
      </c>
      <c r="C11" s="19">
        <v>250946</v>
      </c>
      <c r="D11" s="32">
        <v>1213148</v>
      </c>
      <c r="E11" s="178">
        <f>'Rel. by Popn'!Q12+'Rel. by Popn'!T12+'Rel. by Popn'!W12+'Rel. by Popn'!AA12+'Rel. by Popn'!AD12+'Rel. by Popn'!AG12+'Rel. by Popn'!AK12</f>
        <v>1072162</v>
      </c>
      <c r="F11" s="19">
        <v>1008752</v>
      </c>
      <c r="G11" s="32">
        <v>6227974</v>
      </c>
      <c r="H11" s="178">
        <f>'Rel. by Popn'!AN12+'Rel. by Popn'!AQ12</f>
        <v>957072</v>
      </c>
      <c r="I11" s="19">
        <v>0</v>
      </c>
      <c r="J11" s="32">
        <v>380606</v>
      </c>
      <c r="K11" s="178">
        <f>'Rel. by Popn'!AT12+'Rel. by Popn'!AW12+'Rel. by Popn'!AZ12+'Rel. by Popn'!BC12+'Rel. by Popn'!BG12+'Rel. by Popn'!BJ12+'Rel. by Popn'!BM12+'Rel. by Popn'!BP12</f>
        <v>993068</v>
      </c>
      <c r="L11" s="19">
        <v>553491</v>
      </c>
      <c r="M11" s="32">
        <v>4428113</v>
      </c>
      <c r="N11" s="21">
        <f t="shared" si="0"/>
        <v>5038087</v>
      </c>
      <c r="O11" s="21">
        <f aca="true" t="shared" si="7" ref="O11:O16">C11+F11+I11+L11</f>
        <v>1813189</v>
      </c>
      <c r="P11" s="39">
        <f aca="true" t="shared" si="8" ref="P11:P16">D11+G11+J11+M11</f>
        <v>12249841</v>
      </c>
      <c r="Q11" s="182">
        <f t="shared" si="2"/>
        <v>19.101117</v>
      </c>
      <c r="R11" s="186">
        <f>('Rel. by Popn'!Z12+'Rel. by Popn'!AJ12+'Rel. by Popn'!BF12)/1000000</f>
        <v>8.586612</v>
      </c>
      <c r="S11" s="189">
        <f t="shared" si="3"/>
        <v>5.038087</v>
      </c>
      <c r="T11" s="190">
        <f t="shared" si="4"/>
        <v>1.813189</v>
      </c>
      <c r="U11" s="199">
        <f t="shared" si="5"/>
        <v>3.6632289999999994</v>
      </c>
      <c r="V11" s="203">
        <f t="shared" si="6"/>
        <v>10.514505</v>
      </c>
      <c r="Y11" s="2"/>
    </row>
    <row r="12" spans="1:25" ht="12.75">
      <c r="A12" s="9">
        <v>1986</v>
      </c>
      <c r="B12" s="178">
        <f>'Rel. by Popn'!B13+'Rel. by Popn'!E13+'Rel. by Popn'!H13+'Rel. by Popn'!K13+'Rel. by Popn'!N13</f>
        <v>1243852</v>
      </c>
      <c r="C12" s="19">
        <v>164563</v>
      </c>
      <c r="D12" s="32">
        <v>1802720</v>
      </c>
      <c r="E12" s="178">
        <f>'Rel. by Popn'!Q13+'Rel. by Popn'!T13+'Rel. by Popn'!W13+'Rel. by Popn'!AA13+'Rel. by Popn'!AD13+'Rel. by Popn'!AG13+'Rel. by Popn'!AK13</f>
        <v>274235</v>
      </c>
      <c r="F12" s="19">
        <v>660461</v>
      </c>
      <c r="G12" s="32">
        <v>7467497</v>
      </c>
      <c r="H12" s="178">
        <f>'Rel. by Popn'!AN13+'Rel. by Popn'!AQ13</f>
        <v>1067268</v>
      </c>
      <c r="I12" s="19">
        <v>19980</v>
      </c>
      <c r="J12" s="32">
        <v>588731</v>
      </c>
      <c r="K12" s="178">
        <f>'Rel. by Popn'!AT13+'Rel. by Popn'!AW13+'Rel. by Popn'!AZ13+'Rel. by Popn'!BC13+'Rel. by Popn'!BG13+'Rel. by Popn'!BJ13+'Rel. by Popn'!BM13+'Rel. by Popn'!BP13</f>
        <v>399277</v>
      </c>
      <c r="L12" s="19">
        <v>191388</v>
      </c>
      <c r="M12" s="32">
        <v>3459952</v>
      </c>
      <c r="N12" s="21">
        <f>B12+E12+H12+K12</f>
        <v>2984632</v>
      </c>
      <c r="O12" s="21">
        <f t="shared" si="7"/>
        <v>1036392</v>
      </c>
      <c r="P12" s="39">
        <f t="shared" si="8"/>
        <v>13318900</v>
      </c>
      <c r="Q12" s="182">
        <f t="shared" si="2"/>
        <v>17.339924</v>
      </c>
      <c r="R12" s="186">
        <f>('Rel. by Popn'!Z13+'Rel. by Popn'!AJ13+'Rel. by Popn'!BF13)/1000000</f>
        <v>8.655382</v>
      </c>
      <c r="S12" s="189">
        <f t="shared" si="3"/>
        <v>2.984632</v>
      </c>
      <c r="T12" s="190">
        <f t="shared" si="4"/>
        <v>1.036392</v>
      </c>
      <c r="U12" s="199">
        <f t="shared" si="5"/>
        <v>4.663518</v>
      </c>
      <c r="V12" s="203">
        <f t="shared" si="6"/>
        <v>8.684542</v>
      </c>
      <c r="Y12" s="2"/>
    </row>
    <row r="13" spans="1:25" ht="12.75">
      <c r="A13" s="9">
        <v>1987</v>
      </c>
      <c r="B13" s="178">
        <f>'Rel. by Popn'!B14+'Rel. by Popn'!E14+'Rel. by Popn'!H14+'Rel. by Popn'!K14+'Rel. by Popn'!N14</f>
        <v>1273793</v>
      </c>
      <c r="C13" s="19">
        <v>97418</v>
      </c>
      <c r="D13" s="32">
        <v>1753718</v>
      </c>
      <c r="E13" s="178">
        <f>'Rel. by Popn'!Q14+'Rel. by Popn'!T14+'Rel. by Popn'!W14+'Rel. by Popn'!AA14+'Rel. by Popn'!AD14+'Rel. by Popn'!AG14+'Rel. by Popn'!AK14</f>
        <v>915370</v>
      </c>
      <c r="F13" s="19">
        <v>640970</v>
      </c>
      <c r="G13" s="32">
        <v>6249565</v>
      </c>
      <c r="H13" s="178">
        <f>'Rel. by Popn'!AN14+'Rel. by Popn'!AQ14</f>
        <v>1802651</v>
      </c>
      <c r="I13" s="19"/>
      <c r="J13" s="32">
        <v>555964</v>
      </c>
      <c r="K13" s="178">
        <f>'Rel. by Popn'!AT14+'Rel. by Popn'!AW14+'Rel. by Popn'!AZ14+'Rel. by Popn'!BC14+'Rel. by Popn'!BG14+'Rel. by Popn'!BJ14+'Rel. by Popn'!BM14+'Rel. by Popn'!BP14</f>
        <v>509897</v>
      </c>
      <c r="L13" s="19">
        <v>278804</v>
      </c>
      <c r="M13" s="32">
        <v>775414</v>
      </c>
      <c r="N13" s="21">
        <f>B13+E13+H13+K13</f>
        <v>4501711</v>
      </c>
      <c r="O13" s="21">
        <f t="shared" si="7"/>
        <v>1017192</v>
      </c>
      <c r="P13" s="39">
        <f t="shared" si="8"/>
        <v>9334661</v>
      </c>
      <c r="Q13" s="182">
        <f t="shared" si="2"/>
        <v>14.853564</v>
      </c>
      <c r="R13" s="186">
        <f>('Rel. by Popn'!Z14+'Rel. by Popn'!AJ14+'Rel. by Popn'!BF14)/1000000</f>
        <v>4.569979</v>
      </c>
      <c r="S13" s="189">
        <f t="shared" si="3"/>
        <v>4.501711</v>
      </c>
      <c r="T13" s="190">
        <f t="shared" si="4"/>
        <v>1.017192</v>
      </c>
      <c r="U13" s="199">
        <f t="shared" si="5"/>
        <v>4.7646820000000005</v>
      </c>
      <c r="V13" s="203">
        <f t="shared" si="6"/>
        <v>10.283585</v>
      </c>
      <c r="Y13" s="2"/>
    </row>
    <row r="14" spans="1:25" ht="12.75">
      <c r="A14" s="9">
        <v>1988</v>
      </c>
      <c r="B14" s="178">
        <f>'Rel. by Popn'!B15+'Rel. by Popn'!E15+'Rel. by Popn'!H15+'Rel. by Popn'!K15+'Rel. by Popn'!N15</f>
        <v>251367</v>
      </c>
      <c r="C14" s="19">
        <v>124337</v>
      </c>
      <c r="D14" s="32">
        <v>1816773</v>
      </c>
      <c r="E14" s="178">
        <f>'Rel. by Popn'!Q15+'Rel. by Popn'!T15+'Rel. by Popn'!W15+'Rel. by Popn'!AA15+'Rel. by Popn'!AD15+'Rel. by Popn'!AG15+'Rel. by Popn'!AK15</f>
        <v>156245</v>
      </c>
      <c r="F14" s="19">
        <v>130112</v>
      </c>
      <c r="G14" s="32">
        <v>6440683</v>
      </c>
      <c r="H14" s="178">
        <f>'Rel. by Popn'!AN15+'Rel. by Popn'!AQ15</f>
        <v>184521</v>
      </c>
      <c r="I14" s="19">
        <v>17983</v>
      </c>
      <c r="J14" s="32">
        <v>456263</v>
      </c>
      <c r="K14" s="178">
        <f>'Rel. by Popn'!AT15+'Rel. by Popn'!AW15+'Rel. by Popn'!AZ15+'Rel. by Popn'!BC15+'Rel. by Popn'!BG15+'Rel. by Popn'!BJ15+'Rel. by Popn'!BM15+'Rel. by Popn'!BP15</f>
        <v>102863</v>
      </c>
      <c r="L14" s="19">
        <v>254341</v>
      </c>
      <c r="M14" s="32">
        <v>1395461</v>
      </c>
      <c r="N14" s="21">
        <f>B14+E14+H14+K14</f>
        <v>694996</v>
      </c>
      <c r="O14" s="21">
        <f t="shared" si="7"/>
        <v>526773</v>
      </c>
      <c r="P14" s="39">
        <f t="shared" si="8"/>
        <v>10109180</v>
      </c>
      <c r="Q14" s="182">
        <f t="shared" si="2"/>
        <v>11.330949</v>
      </c>
      <c r="R14" s="186">
        <f>('Rel. by Popn'!Z15+'Rel. by Popn'!AJ15+'Rel. by Popn'!BF15)/1000000</f>
        <v>4.839174</v>
      </c>
      <c r="S14" s="189">
        <f t="shared" si="3"/>
        <v>0.694996</v>
      </c>
      <c r="T14" s="190">
        <f t="shared" si="4"/>
        <v>0.526773</v>
      </c>
      <c r="U14" s="199">
        <f t="shared" si="5"/>
        <v>5.270006</v>
      </c>
      <c r="V14" s="203">
        <f t="shared" si="6"/>
        <v>6.4917750000000005</v>
      </c>
      <c r="Y14" s="2"/>
    </row>
    <row r="15" spans="1:25" ht="12.75">
      <c r="A15" s="9">
        <v>1989</v>
      </c>
      <c r="B15" s="178">
        <f>'Rel. by Popn'!B16+'Rel. by Popn'!E16+'Rel. by Popn'!H16+'Rel. by Popn'!K16+'Rel. by Popn'!N16</f>
        <v>985158</v>
      </c>
      <c r="C15" s="19">
        <v>52962</v>
      </c>
      <c r="D15" s="32">
        <v>2041527</v>
      </c>
      <c r="E15" s="178">
        <f>'Rel. by Popn'!Q16+'Rel. by Popn'!T16+'Rel. by Popn'!W16+'Rel. by Popn'!AA16+'Rel. by Popn'!AD16+'Rel. by Popn'!AG16+'Rel. by Popn'!AK16</f>
        <v>172747</v>
      </c>
      <c r="F15" s="19">
        <v>93069</v>
      </c>
      <c r="G15" s="32">
        <v>10261198</v>
      </c>
      <c r="H15" s="178">
        <f>'Rel. by Popn'!AN16+'Rel. by Popn'!AQ16</f>
        <v>179724</v>
      </c>
      <c r="I15" s="19">
        <v>0</v>
      </c>
      <c r="J15" s="32">
        <v>430795</v>
      </c>
      <c r="K15" s="178">
        <f>'Rel. by Popn'!AT16+'Rel. by Popn'!AW16+'Rel. by Popn'!AZ16+'Rel. by Popn'!BC16+'Rel. by Popn'!BG16+'Rel. by Popn'!BJ16+'Rel. by Popn'!BM16+'Rel. by Popn'!BP16</f>
        <v>1525590</v>
      </c>
      <c r="L15" s="19">
        <v>922496</v>
      </c>
      <c r="M15" s="32">
        <v>2316879</v>
      </c>
      <c r="N15" s="21">
        <f>B15+E15+H15+K15</f>
        <v>2863219</v>
      </c>
      <c r="O15" s="21">
        <f t="shared" si="7"/>
        <v>1068527</v>
      </c>
      <c r="P15" s="39">
        <f t="shared" si="8"/>
        <v>15050399</v>
      </c>
      <c r="Q15" s="182">
        <f t="shared" si="2"/>
        <v>18.982145</v>
      </c>
      <c r="R15" s="186">
        <f>('Rel. by Popn'!Z16+'Rel. by Popn'!AJ16+'Rel. by Popn'!BF16)/1000000</f>
        <v>9.950868</v>
      </c>
      <c r="S15" s="189">
        <f t="shared" si="3"/>
        <v>2.863219</v>
      </c>
      <c r="T15" s="190">
        <f t="shared" si="4"/>
        <v>1.068527</v>
      </c>
      <c r="U15" s="199">
        <f t="shared" si="5"/>
        <v>5.099531000000001</v>
      </c>
      <c r="V15" s="203">
        <f t="shared" si="6"/>
        <v>9.031277000000001</v>
      </c>
      <c r="Y15" s="2"/>
    </row>
    <row r="16" spans="1:25" ht="12.75">
      <c r="A16" s="41">
        <v>1990</v>
      </c>
      <c r="B16" s="178">
        <f>'Rel. by Popn'!B17+'Rel. by Popn'!E17+'Rel. by Popn'!H17+'Rel. by Popn'!K17+'Rel. by Popn'!N17</f>
        <v>595971</v>
      </c>
      <c r="C16" s="178">
        <f>'Rel. by Popn'!C17+'Rel. by Popn'!F17+'Rel. by Popn'!I17+'Rel. by Popn'!L17+'Rel. by Popn'!O17</f>
        <v>117264</v>
      </c>
      <c r="D16" s="218">
        <f>'Rel. by Popn'!D17+'Rel. by Popn'!G17+'Rel. by Popn'!J17+'Rel. by Popn'!M17+'Rel. by Popn'!P17</f>
        <v>1887650</v>
      </c>
      <c r="E16" s="178">
        <f>'Rel. by Popn'!Q17+'Rel. by Popn'!T17+'Rel. by Popn'!W17+'Rel. by Popn'!AA17+'Rel. by Popn'!AD17+'Rel. by Popn'!AG17+'Rel. by Popn'!AK17</f>
        <v>906386</v>
      </c>
      <c r="F16" s="178">
        <f>'Rel. by Popn'!R17+'Rel. by Popn'!U17+'Rel. by Popn'!X17+'Rel. by Popn'!AB17+'Rel. by Popn'!AE17+'Rel. by Popn'!AH17+'Rel. by Popn'!AL17</f>
        <v>620696</v>
      </c>
      <c r="G16" s="168">
        <f>'Rel. by Popn'!S17+'Rel. by Popn'!V17+'Rel. by Popn'!Y17+'Rel. by Popn'!Z17+'Rel. by Popn'!AC17+'Rel. by Popn'!AF17+'Rel. by Popn'!AI17+'Rel. by Popn'!AJ17+'Rel. by Popn'!AM17</f>
        <v>5365015</v>
      </c>
      <c r="H16" s="178">
        <f>'Rel. by Popn'!AN17+'Rel. by Popn'!AQ17</f>
        <v>40194</v>
      </c>
      <c r="I16" s="167">
        <f>'Rel. by Popn'!AO17+'Rel. by Popn'!AR17</f>
        <v>0</v>
      </c>
      <c r="J16" s="168">
        <f>'Rel. by Popn'!AP17+'Rel. by Popn'!AS17</f>
        <v>433235</v>
      </c>
      <c r="K16" s="178">
        <f>'Rel. by Popn'!AT17+'Rel. by Popn'!AW17+'Rel. by Popn'!AZ17+'Rel. by Popn'!BC17+'Rel. by Popn'!BG17+'Rel. by Popn'!BJ17+'Rel. by Popn'!BM17+'Rel. by Popn'!BP17</f>
        <v>1247731</v>
      </c>
      <c r="L16" s="167">
        <f>'Rel. by Popn'!AU17+'Rel. by Popn'!AX17+'Rel. by Popn'!BA17+'Rel. by Popn'!BD17+'Rel. by Popn'!BH17+'Rel. by Popn'!BK17+'Rel. by Popn'!BN17+'Rel. by Popn'!BQ17</f>
        <v>571945</v>
      </c>
      <c r="M16" s="168">
        <f>'Rel. by Popn'!AV17+'Rel. by Popn'!AY17+'Rel. by Popn'!BB17+'Rel. by Popn'!BE17+'Rel. by Popn'!BF17+'Rel. by Popn'!BI17+'Rel. by Popn'!BL17+'Rel. by Popn'!BO17+'Rel. by Popn'!BR17</f>
        <v>309041</v>
      </c>
      <c r="N16" s="21">
        <f>B16+E16+H16+K16</f>
        <v>2790282</v>
      </c>
      <c r="O16" s="21">
        <f t="shared" si="7"/>
        <v>1309905</v>
      </c>
      <c r="P16" s="39">
        <f t="shared" si="8"/>
        <v>7994941</v>
      </c>
      <c r="Q16" s="182">
        <f t="shared" si="2"/>
        <v>12.095128</v>
      </c>
      <c r="R16" s="186">
        <f>('Rel. by Popn'!Z17+'Rel. by Popn'!AJ17+'Rel. by Popn'!BF17)/1000000</f>
        <v>2.833986</v>
      </c>
      <c r="S16" s="189">
        <f t="shared" si="3"/>
        <v>2.790282</v>
      </c>
      <c r="T16" s="190">
        <f t="shared" si="4"/>
        <v>1.309905</v>
      </c>
      <c r="U16" s="199">
        <f t="shared" si="5"/>
        <v>5.1609549999999995</v>
      </c>
      <c r="V16" s="203">
        <f t="shared" si="6"/>
        <v>9.261142</v>
      </c>
      <c r="W16" s="167"/>
      <c r="Y16" s="2"/>
    </row>
    <row r="17" spans="1:25" ht="12.75">
      <c r="A17" s="41">
        <v>1991</v>
      </c>
      <c r="B17" s="178">
        <f>'Rel. by Popn'!B18+'Rel. by Popn'!E18+'Rel. by Popn'!H18+'Rel. by Popn'!K18+'Rel. by Popn'!N18</f>
        <v>533202</v>
      </c>
      <c r="C17" s="178">
        <f>'Rel. by Popn'!C18+'Rel. by Popn'!F18+'Rel. by Popn'!I18+'Rel. by Popn'!L18+'Rel. by Popn'!O18</f>
        <v>0</v>
      </c>
      <c r="D17" s="218">
        <f>'Rel. by Popn'!D18+'Rel. by Popn'!G18+'Rel. by Popn'!J18+'Rel. by Popn'!M18+'Rel. by Popn'!P18</f>
        <v>1847071</v>
      </c>
      <c r="E17" s="178">
        <f>'Rel. by Popn'!Q18+'Rel. by Popn'!T18+'Rel. by Popn'!W18+'Rel. by Popn'!AA18+'Rel. by Popn'!AD18+'Rel. by Popn'!AG18+'Rel. by Popn'!AK18</f>
        <v>393680</v>
      </c>
      <c r="F17" s="178">
        <f>'Rel. by Popn'!R18+'Rel. by Popn'!U18+'Rel. by Popn'!X18+'Rel. by Popn'!AB18+'Rel. by Popn'!AE18+'Rel. by Popn'!AH18+'Rel. by Popn'!AL18</f>
        <v>380710</v>
      </c>
      <c r="G17" s="168">
        <f>'Rel. by Popn'!S18+'Rel. by Popn'!V18+'Rel. by Popn'!Y18+'Rel. by Popn'!Z18+'Rel. by Popn'!AC18+'Rel. by Popn'!AF18+'Rel. by Popn'!AI18+'Rel. by Popn'!AJ18+'Rel. by Popn'!AM18</f>
        <v>2604528</v>
      </c>
      <c r="H17" s="178">
        <f>'Rel. by Popn'!AN18+'Rel. by Popn'!AQ18</f>
        <v>40612</v>
      </c>
      <c r="I17" s="167">
        <f>'Rel. by Popn'!AO18+'Rel. by Popn'!AR18</f>
        <v>0</v>
      </c>
      <c r="J17" s="168">
        <f>'Rel. by Popn'!AP18+'Rel. by Popn'!AS18</f>
        <v>426633</v>
      </c>
      <c r="K17" s="178">
        <f>'Rel. by Popn'!AT18+'Rel. by Popn'!AW18+'Rel. by Popn'!AZ18+'Rel. by Popn'!BC18+'Rel. by Popn'!BG18+'Rel. by Popn'!BJ18+'Rel. by Popn'!BM18+'Rel. by Popn'!BP18</f>
        <v>549359</v>
      </c>
      <c r="L17" s="167">
        <f>'Rel. by Popn'!AU18+'Rel. by Popn'!AX18+'Rel. by Popn'!BA18+'Rel. by Popn'!BD18+'Rel. by Popn'!BH18+'Rel. by Popn'!BK18+'Rel. by Popn'!BN18+'Rel. by Popn'!BQ18</f>
        <v>583152</v>
      </c>
      <c r="M17" s="168">
        <f>'Rel. by Popn'!AV18+'Rel. by Popn'!AY18+'Rel. by Popn'!BB18+'Rel. by Popn'!BE18+'Rel. by Popn'!BF18+'Rel. by Popn'!BI18+'Rel. by Popn'!BL18+'Rel. by Popn'!BO18+'Rel. by Popn'!BR18</f>
        <v>261110</v>
      </c>
      <c r="N17" s="21">
        <f aca="true" t="shared" si="9" ref="N17:N24">B17+E17+H17+K17</f>
        <v>1516853</v>
      </c>
      <c r="O17" s="21">
        <f aca="true" t="shared" si="10" ref="O17:O24">C17+F17+I17+L17</f>
        <v>963862</v>
      </c>
      <c r="P17" s="39">
        <f aca="true" t="shared" si="11" ref="P17:P24">D17+G17+J17+M17</f>
        <v>5139342</v>
      </c>
      <c r="Q17" s="182">
        <f t="shared" si="2"/>
        <v>7.620057</v>
      </c>
      <c r="R17" s="186">
        <f>('Rel. by Popn'!Z18+'Rel. by Popn'!AJ18+'Rel. by Popn'!BF18)/1000000</f>
        <v>0</v>
      </c>
      <c r="S17" s="189">
        <f t="shared" si="3"/>
        <v>1.516853</v>
      </c>
      <c r="T17" s="190">
        <f t="shared" si="4"/>
        <v>0.963862</v>
      </c>
      <c r="U17" s="199">
        <f t="shared" si="5"/>
        <v>5.139342</v>
      </c>
      <c r="V17" s="203">
        <f t="shared" si="6"/>
        <v>7.620057</v>
      </c>
      <c r="W17" s="42"/>
      <c r="Y17" s="2"/>
    </row>
    <row r="18" spans="1:25" ht="12.75">
      <c r="A18" s="41">
        <v>1992</v>
      </c>
      <c r="B18" s="178">
        <f>'Rel. by Popn'!B19+'Rel. by Popn'!E19+'Rel. by Popn'!H19+'Rel. by Popn'!K19+'Rel. by Popn'!N19</f>
        <v>29193</v>
      </c>
      <c r="C18" s="178">
        <f>'Rel. by Popn'!C19+'Rel. by Popn'!F19+'Rel. by Popn'!I19+'Rel. by Popn'!L19+'Rel. by Popn'!O19</f>
        <v>53913</v>
      </c>
      <c r="D18" s="218">
        <f>'Rel. by Popn'!D19+'Rel. by Popn'!G19+'Rel. by Popn'!J19+'Rel. by Popn'!M19+'Rel. by Popn'!P19</f>
        <v>2156888</v>
      </c>
      <c r="E18" s="178">
        <f>'Rel. by Popn'!Q19+'Rel. by Popn'!T19+'Rel. by Popn'!W19+'Rel. by Popn'!AA19+'Rel. by Popn'!AD19+'Rel. by Popn'!AG19+'Rel. by Popn'!AK19</f>
        <v>608694</v>
      </c>
      <c r="F18" s="178">
        <f>'Rel. by Popn'!R19+'Rel. by Popn'!U19+'Rel. by Popn'!X19+'Rel. by Popn'!AB19+'Rel. by Popn'!AE19+'Rel. by Popn'!AH19+'Rel. by Popn'!AL19</f>
        <v>383340</v>
      </c>
      <c r="G18" s="168">
        <f>'Rel. by Popn'!S19+'Rel. by Popn'!V19+'Rel. by Popn'!Y19+'Rel. by Popn'!Z19+'Rel. by Popn'!AC19+'Rel. by Popn'!AF19+'Rel. by Popn'!AI19+'Rel. by Popn'!AJ19+'Rel. by Popn'!AM19</f>
        <v>2656221</v>
      </c>
      <c r="H18" s="178">
        <f>'Rel. by Popn'!AN19+'Rel. by Popn'!AQ19</f>
        <v>359780</v>
      </c>
      <c r="I18" s="167">
        <f>'Rel. by Popn'!AO19+'Rel. by Popn'!AR19</f>
        <v>0</v>
      </c>
      <c r="J18" s="168">
        <f>'Rel. by Popn'!AP19+'Rel. by Popn'!AS19</f>
        <v>318407</v>
      </c>
      <c r="K18" s="178">
        <f>'Rel. by Popn'!AT19+'Rel. by Popn'!AW19+'Rel. by Popn'!AZ19+'Rel. by Popn'!BC19+'Rel. by Popn'!BG19+'Rel. by Popn'!BJ19+'Rel. by Popn'!BM19+'Rel. by Popn'!BP19</f>
        <v>730395</v>
      </c>
      <c r="L18" s="167">
        <f>'Rel. by Popn'!AU19+'Rel. by Popn'!AX19+'Rel. by Popn'!BA19+'Rel. by Popn'!BD19+'Rel. by Popn'!BH19+'Rel. by Popn'!BK19+'Rel. by Popn'!BN19+'Rel. by Popn'!BQ19</f>
        <v>293302</v>
      </c>
      <c r="M18" s="168">
        <f>'Rel. by Popn'!AV19+'Rel. by Popn'!AY19+'Rel. by Popn'!BB19+'Rel. by Popn'!BE19+'Rel. by Popn'!BF19+'Rel. by Popn'!BI19+'Rel. by Popn'!BL19+'Rel. by Popn'!BO19+'Rel. by Popn'!BR19</f>
        <v>315037</v>
      </c>
      <c r="N18" s="21">
        <f t="shared" si="9"/>
        <v>1728062</v>
      </c>
      <c r="O18" s="21">
        <f t="shared" si="10"/>
        <v>730555</v>
      </c>
      <c r="P18" s="39">
        <f t="shared" si="11"/>
        <v>5446553</v>
      </c>
      <c r="Q18" s="182">
        <f t="shared" si="2"/>
        <v>7.90517</v>
      </c>
      <c r="R18" s="186">
        <f>('Rel. by Popn'!Z19+'Rel. by Popn'!AJ19+'Rel. by Popn'!BF19)/1000000</f>
        <v>0</v>
      </c>
      <c r="S18" s="189">
        <f t="shared" si="3"/>
        <v>1.728062</v>
      </c>
      <c r="T18" s="190">
        <f t="shared" si="4"/>
        <v>0.730555</v>
      </c>
      <c r="U18" s="199">
        <f t="shared" si="5"/>
        <v>5.446553</v>
      </c>
      <c r="V18" s="203">
        <f t="shared" si="6"/>
        <v>7.90517</v>
      </c>
      <c r="W18" s="42"/>
      <c r="Y18" s="2"/>
    </row>
    <row r="19" spans="1:25" ht="12.75">
      <c r="A19" s="41">
        <v>1993</v>
      </c>
      <c r="B19" s="178">
        <f>'Rel. by Popn'!B20+'Rel. by Popn'!E20+'Rel. by Popn'!H20+'Rel. by Popn'!K20+'Rel. by Popn'!N20</f>
        <v>108284</v>
      </c>
      <c r="C19" s="178">
        <f>'Rel. by Popn'!C20+'Rel. by Popn'!F20+'Rel. by Popn'!I20+'Rel. by Popn'!L20+'Rel. by Popn'!O20</f>
        <v>0</v>
      </c>
      <c r="D19" s="218">
        <f>'Rel. by Popn'!D20+'Rel. by Popn'!G20+'Rel. by Popn'!J20+'Rel. by Popn'!M20+'Rel. by Popn'!P20</f>
        <v>1851612</v>
      </c>
      <c r="E19" s="178">
        <f>'Rel. by Popn'!Q20+'Rel. by Popn'!T20+'Rel. by Popn'!W20+'Rel. by Popn'!AA20+'Rel. by Popn'!AD20+'Rel. by Popn'!AG20+'Rel. by Popn'!AK20</f>
        <v>522453</v>
      </c>
      <c r="F19" s="178">
        <f>'Rel. by Popn'!R20+'Rel. by Popn'!U20+'Rel. by Popn'!X20+'Rel. by Popn'!AB20+'Rel. by Popn'!AE20+'Rel. by Popn'!AH20+'Rel. by Popn'!AL20</f>
        <v>178190</v>
      </c>
      <c r="G19" s="168">
        <f>'Rel. by Popn'!S20+'Rel. by Popn'!V20+'Rel. by Popn'!Y20+'Rel. by Popn'!Z20+'Rel. by Popn'!AC20+'Rel. by Popn'!AF20+'Rel. by Popn'!AI20+'Rel. by Popn'!AJ20+'Rel. by Popn'!AM20</f>
        <v>2150814</v>
      </c>
      <c r="H19" s="178">
        <f>'Rel. by Popn'!AN20+'Rel. by Popn'!AQ20</f>
        <v>509246</v>
      </c>
      <c r="I19" s="167">
        <f>'Rel. by Popn'!AO20+'Rel. by Popn'!AR20</f>
        <v>21140</v>
      </c>
      <c r="J19" s="168">
        <f>'Rel. by Popn'!AP20+'Rel. by Popn'!AS20</f>
        <v>298033</v>
      </c>
      <c r="K19" s="178">
        <f>'Rel. by Popn'!AT20+'Rel. by Popn'!AW20+'Rel. by Popn'!AZ20+'Rel. by Popn'!BC20+'Rel. by Popn'!BG20+'Rel. by Popn'!BJ20+'Rel. by Popn'!BM20+'Rel. by Popn'!BP20</f>
        <v>301692</v>
      </c>
      <c r="L19" s="167">
        <f>'Rel. by Popn'!AU20+'Rel. by Popn'!AX20+'Rel. by Popn'!BA20+'Rel. by Popn'!BD20+'Rel. by Popn'!BH20+'Rel. by Popn'!BK20+'Rel. by Popn'!BN20+'Rel. by Popn'!BQ20</f>
        <v>260040</v>
      </c>
      <c r="M19" s="168">
        <f>'Rel. by Popn'!AV20+'Rel. by Popn'!AY20+'Rel. by Popn'!BB20+'Rel. by Popn'!BE20+'Rel. by Popn'!BF20+'Rel. by Popn'!BI20+'Rel. by Popn'!BL20+'Rel. by Popn'!BO20+'Rel. by Popn'!BR20</f>
        <v>271467</v>
      </c>
      <c r="N19" s="21">
        <f t="shared" si="9"/>
        <v>1441675</v>
      </c>
      <c r="O19" s="21">
        <f t="shared" si="10"/>
        <v>459370</v>
      </c>
      <c r="P19" s="39">
        <f t="shared" si="11"/>
        <v>4571926</v>
      </c>
      <c r="Q19" s="182">
        <f t="shared" si="2"/>
        <v>6.472971</v>
      </c>
      <c r="R19" s="186">
        <f>('Rel. by Popn'!Z20+'Rel. by Popn'!AJ20+'Rel. by Popn'!BF20)/1000000</f>
        <v>0</v>
      </c>
      <c r="S19" s="189">
        <f t="shared" si="3"/>
        <v>1.441675</v>
      </c>
      <c r="T19" s="190">
        <f t="shared" si="4"/>
        <v>0.45937</v>
      </c>
      <c r="U19" s="199">
        <f t="shared" si="5"/>
        <v>4.571926</v>
      </c>
      <c r="V19" s="203">
        <f t="shared" si="6"/>
        <v>6.472971</v>
      </c>
      <c r="W19" s="42"/>
      <c r="Y19" s="2"/>
    </row>
    <row r="20" spans="1:25" ht="12.75">
      <c r="A20" s="41">
        <v>1994</v>
      </c>
      <c r="B20" s="178">
        <f>'Rel. by Popn'!B21+'Rel. by Popn'!E21+'Rel. by Popn'!H21+'Rel. by Popn'!K21+'Rel. by Popn'!N21</f>
        <v>29855</v>
      </c>
      <c r="C20" s="178">
        <f>'Rel. by Popn'!C21+'Rel. by Popn'!F21+'Rel. by Popn'!I21+'Rel. by Popn'!L21+'Rel. by Popn'!O21</f>
        <v>0</v>
      </c>
      <c r="D20" s="218">
        <f>'Rel. by Popn'!D21+'Rel. by Popn'!G21+'Rel. by Popn'!J21+'Rel. by Popn'!M21+'Rel. by Popn'!P21</f>
        <v>2091227</v>
      </c>
      <c r="E20" s="178">
        <f>'Rel. by Popn'!Q21+'Rel. by Popn'!T21+'Rel. by Popn'!W21+'Rel. by Popn'!AA21+'Rel. by Popn'!AD21+'Rel. by Popn'!AG21+'Rel. by Popn'!AK21</f>
        <v>146827</v>
      </c>
      <c r="F20" s="178">
        <f>'Rel. by Popn'!R21+'Rel. by Popn'!U21+'Rel. by Popn'!X21+'Rel. by Popn'!AB21+'Rel. by Popn'!AE21+'Rel. by Popn'!AH21+'Rel. by Popn'!AL21</f>
        <v>265334</v>
      </c>
      <c r="G20" s="168">
        <f>'Rel. by Popn'!S21+'Rel. by Popn'!V21+'Rel. by Popn'!Y21+'Rel. by Popn'!Z21+'Rel. by Popn'!AC21+'Rel. by Popn'!AF21+'Rel. by Popn'!AI21+'Rel. by Popn'!AJ21+'Rel. by Popn'!AM21</f>
        <v>2312372</v>
      </c>
      <c r="H20" s="178">
        <f>'Rel. by Popn'!AN21+'Rel. by Popn'!AQ21</f>
        <v>589380</v>
      </c>
      <c r="I20" s="167">
        <f>'Rel. by Popn'!AO21+'Rel. by Popn'!AR21</f>
        <v>0</v>
      </c>
      <c r="J20" s="168">
        <f>'Rel. by Popn'!AP21+'Rel. by Popn'!AS21</f>
        <v>283908</v>
      </c>
      <c r="K20" s="178">
        <f>'Rel. by Popn'!AT21+'Rel. by Popn'!AW21+'Rel. by Popn'!AZ21+'Rel. by Popn'!BC21+'Rel. by Popn'!BG21+'Rel. by Popn'!BJ21+'Rel. by Popn'!BM21+'Rel. by Popn'!BP21</f>
        <v>477508</v>
      </c>
      <c r="L20" s="167">
        <f>'Rel. by Popn'!AU21+'Rel. by Popn'!AX21+'Rel. by Popn'!BA21+'Rel. by Popn'!BD21+'Rel. by Popn'!BH21+'Rel. by Popn'!BK21+'Rel. by Popn'!BN21+'Rel. by Popn'!BQ21</f>
        <v>50745</v>
      </c>
      <c r="M20" s="168">
        <f>'Rel. by Popn'!AV21+'Rel. by Popn'!AY21+'Rel. by Popn'!BB21+'Rel. by Popn'!BE21+'Rel. by Popn'!BF21+'Rel. by Popn'!BI21+'Rel. by Popn'!BL21+'Rel. by Popn'!BO21+'Rel. by Popn'!BR21</f>
        <v>273231</v>
      </c>
      <c r="N20" s="21">
        <f t="shared" si="9"/>
        <v>1243570</v>
      </c>
      <c r="O20" s="21">
        <f t="shared" si="10"/>
        <v>316079</v>
      </c>
      <c r="P20" s="39">
        <f t="shared" si="11"/>
        <v>4960738</v>
      </c>
      <c r="Q20" s="182">
        <f t="shared" si="2"/>
        <v>6.520387</v>
      </c>
      <c r="R20" s="186">
        <f>('Rel. by Popn'!Z21+'Rel. by Popn'!AJ21+'Rel. by Popn'!BF21)/1000000</f>
        <v>0</v>
      </c>
      <c r="S20" s="189">
        <f t="shared" si="3"/>
        <v>1.24357</v>
      </c>
      <c r="T20" s="190">
        <f t="shared" si="4"/>
        <v>0.316079</v>
      </c>
      <c r="U20" s="199">
        <f t="shared" si="5"/>
        <v>4.960738</v>
      </c>
      <c r="V20" s="203">
        <f t="shared" si="6"/>
        <v>6.520387</v>
      </c>
      <c r="W20" s="42"/>
      <c r="Y20" s="2"/>
    </row>
    <row r="21" spans="1:25" ht="12.75">
      <c r="A21" s="41">
        <v>1995</v>
      </c>
      <c r="B21" s="178">
        <f>'Rel. by Popn'!B22+'Rel. by Popn'!E22+'Rel. by Popn'!H22+'Rel. by Popn'!K22+'Rel. by Popn'!N22</f>
        <v>29875</v>
      </c>
      <c r="C21" s="178">
        <f>'Rel. by Popn'!C22+'Rel. by Popn'!F22+'Rel. by Popn'!I22+'Rel. by Popn'!L22+'Rel. by Popn'!O22</f>
        <v>0</v>
      </c>
      <c r="D21" s="218">
        <f>'Rel. by Popn'!D22+'Rel. by Popn'!G22+'Rel. by Popn'!J22+'Rel. by Popn'!M22+'Rel. by Popn'!P22</f>
        <v>1006785</v>
      </c>
      <c r="E21" s="178">
        <f>'Rel. by Popn'!Q22+'Rel. by Popn'!T22+'Rel. by Popn'!W22+'Rel. by Popn'!AA22+'Rel. by Popn'!AD22+'Rel. by Popn'!AG22+'Rel. by Popn'!AK22</f>
        <v>24863</v>
      </c>
      <c r="F21" s="178">
        <f>'Rel. by Popn'!R22+'Rel. by Popn'!U22+'Rel. by Popn'!X22+'Rel. by Popn'!AB22+'Rel. by Popn'!AE22+'Rel. by Popn'!AH22+'Rel. by Popn'!AL22</f>
        <v>29062</v>
      </c>
      <c r="G21" s="168">
        <f>'Rel. by Popn'!S22+'Rel. by Popn'!V22+'Rel. by Popn'!Y22+'Rel. by Popn'!Z22+'Rel. by Popn'!AC22+'Rel. by Popn'!AF22+'Rel. by Popn'!AI22+'Rel. by Popn'!AJ22+'Rel. by Popn'!AM22</f>
        <v>2036120</v>
      </c>
      <c r="H21" s="178">
        <f>'Rel. by Popn'!AN22+'Rel. by Popn'!AQ22</f>
        <v>568041</v>
      </c>
      <c r="I21" s="167">
        <f>'Rel. by Popn'!AO22+'Rel. by Popn'!AR22</f>
        <v>18208</v>
      </c>
      <c r="J21" s="168">
        <f>'Rel. by Popn'!AP22+'Rel. by Popn'!AS22</f>
        <v>277561</v>
      </c>
      <c r="K21" s="178">
        <f>'Rel. by Popn'!AT22+'Rel. by Popn'!AW22+'Rel. by Popn'!AZ22+'Rel. by Popn'!BC22+'Rel. by Popn'!BG22+'Rel. by Popn'!BJ22+'Rel. by Popn'!BM22+'Rel. by Popn'!BP22</f>
        <v>386850</v>
      </c>
      <c r="L21" s="167">
        <f>'Rel. by Popn'!AU22+'Rel. by Popn'!AX22+'Rel. by Popn'!BA22+'Rel. by Popn'!BD22+'Rel. by Popn'!BH22+'Rel. by Popn'!BK22+'Rel. by Popn'!BN22+'Rel. by Popn'!BQ22</f>
        <v>16250</v>
      </c>
      <c r="M21" s="168">
        <f>'Rel. by Popn'!AV22+'Rel. by Popn'!AY22+'Rel. by Popn'!BB22+'Rel. by Popn'!BE22+'Rel. by Popn'!BF22+'Rel. by Popn'!BI22+'Rel. by Popn'!BL22+'Rel. by Popn'!BO22+'Rel. by Popn'!BR22</f>
        <v>261402</v>
      </c>
      <c r="N21" s="21">
        <f t="shared" si="9"/>
        <v>1009629</v>
      </c>
      <c r="O21" s="21">
        <f t="shared" si="10"/>
        <v>63520</v>
      </c>
      <c r="P21" s="39">
        <f t="shared" si="11"/>
        <v>3581868</v>
      </c>
      <c r="Q21" s="182">
        <f t="shared" si="2"/>
        <v>4.655017</v>
      </c>
      <c r="R21" s="186">
        <f>('Rel. by Popn'!Z22+'Rel. by Popn'!AJ22+'Rel. by Popn'!BF22)/1000000</f>
        <v>0</v>
      </c>
      <c r="S21" s="189">
        <f t="shared" si="3"/>
        <v>1.009629</v>
      </c>
      <c r="T21" s="190">
        <f t="shared" si="4"/>
        <v>0.06352</v>
      </c>
      <c r="U21" s="199">
        <f t="shared" si="5"/>
        <v>3.581868</v>
      </c>
      <c r="V21" s="203">
        <f t="shared" si="6"/>
        <v>4.655017</v>
      </c>
      <c r="W21" s="42"/>
      <c r="Y21" s="2"/>
    </row>
    <row r="22" spans="1:25" ht="12.75">
      <c r="A22" s="41">
        <v>1996</v>
      </c>
      <c r="B22" s="178">
        <f>'Rel. by Popn'!B23+'Rel. by Popn'!E23+'Rel. by Popn'!H23+'Rel. by Popn'!K23+'Rel. by Popn'!N23</f>
        <v>28341</v>
      </c>
      <c r="C22" s="178">
        <f>'Rel. by Popn'!C23+'Rel. by Popn'!F23+'Rel. by Popn'!I23+'Rel. by Popn'!L23+'Rel. by Popn'!O23</f>
        <v>0</v>
      </c>
      <c r="D22" s="218">
        <f>'Rel. by Popn'!D23+'Rel. by Popn'!G23+'Rel. by Popn'!J23+'Rel. by Popn'!M23+'Rel. by Popn'!P23</f>
        <v>837617</v>
      </c>
      <c r="E22" s="178">
        <f>'Rel. by Popn'!Q23+'Rel. by Popn'!T23+'Rel. by Popn'!W23+'Rel. by Popn'!AA23+'Rel. by Popn'!AD23+'Rel. by Popn'!AG23+'Rel. by Popn'!AK23</f>
        <v>52788</v>
      </c>
      <c r="F22" s="178">
        <f>'Rel. by Popn'!R23+'Rel. by Popn'!U23+'Rel. by Popn'!X23+'Rel. by Popn'!AB23+'Rel. by Popn'!AE23+'Rel. by Popn'!AH23+'Rel. by Popn'!AL23</f>
        <v>46108</v>
      </c>
      <c r="G22" s="168">
        <f>'Rel. by Popn'!S23+'Rel. by Popn'!V23+'Rel. by Popn'!Y23+'Rel. by Popn'!Z23+'Rel. by Popn'!AC23+'Rel. by Popn'!AF23+'Rel. by Popn'!AI23+'Rel. by Popn'!AJ23+'Rel. by Popn'!AM23</f>
        <v>1920975</v>
      </c>
      <c r="H22" s="178">
        <f>'Rel. by Popn'!AN23+'Rel. by Popn'!AQ23</f>
        <v>521520</v>
      </c>
      <c r="I22" s="167">
        <f>'Rel. by Popn'!AO23+'Rel. by Popn'!AR23</f>
        <v>0</v>
      </c>
      <c r="J22" s="168">
        <f>'Rel. by Popn'!AP23+'Rel. by Popn'!AS23</f>
        <v>287623</v>
      </c>
      <c r="K22" s="178">
        <f>'Rel. by Popn'!AT23+'Rel. by Popn'!AW23+'Rel. by Popn'!AZ23+'Rel. by Popn'!BC23+'Rel. by Popn'!BG23+'Rel. by Popn'!BJ23+'Rel. by Popn'!BM23+'Rel. by Popn'!BP23</f>
        <v>325977</v>
      </c>
      <c r="L22" s="167">
        <f>'Rel. by Popn'!AU23+'Rel. by Popn'!AX23+'Rel. by Popn'!BA23+'Rel. by Popn'!BD23+'Rel. by Popn'!BH23+'Rel. by Popn'!BK23+'Rel. by Popn'!BN23+'Rel. by Popn'!BQ23</f>
        <v>0</v>
      </c>
      <c r="M22" s="168">
        <f>'Rel. by Popn'!AV23+'Rel. by Popn'!AY23+'Rel. by Popn'!BB23+'Rel. by Popn'!BE23+'Rel. by Popn'!BF23+'Rel. by Popn'!BI23+'Rel. by Popn'!BL23+'Rel. by Popn'!BO23+'Rel. by Popn'!BR23</f>
        <v>110493</v>
      </c>
      <c r="N22" s="21">
        <f t="shared" si="9"/>
        <v>928626</v>
      </c>
      <c r="O22" s="21">
        <f t="shared" si="10"/>
        <v>46108</v>
      </c>
      <c r="P22" s="39">
        <f t="shared" si="11"/>
        <v>3156708</v>
      </c>
      <c r="Q22" s="182">
        <f t="shared" si="2"/>
        <v>4.131442</v>
      </c>
      <c r="R22" s="186">
        <f>('Rel. by Popn'!Z23+'Rel. by Popn'!AJ23+'Rel. by Popn'!BF23)/1000000</f>
        <v>0</v>
      </c>
      <c r="S22" s="189">
        <f t="shared" si="3"/>
        <v>0.928626</v>
      </c>
      <c r="T22" s="190">
        <f t="shared" si="4"/>
        <v>0.046108</v>
      </c>
      <c r="U22" s="199">
        <f t="shared" si="5"/>
        <v>3.156708</v>
      </c>
      <c r="V22" s="203">
        <f t="shared" si="6"/>
        <v>4.131442</v>
      </c>
      <c r="W22" s="42"/>
      <c r="Y22" s="2"/>
    </row>
    <row r="23" spans="1:25" ht="12.75">
      <c r="A23" s="44">
        <v>1997</v>
      </c>
      <c r="B23" s="220">
        <f>'Rel. by Popn'!B24+'Rel. by Popn'!E24+'Rel. by Popn'!H24+'Rel. by Popn'!K24+'Rel. by Popn'!N24</f>
        <v>26729</v>
      </c>
      <c r="C23" s="221">
        <f>'Rel. by Popn'!C24+'Rel. by Popn'!F24+'Rel. by Popn'!I24+'Rel. by Popn'!L24+'Rel. by Popn'!O24</f>
        <v>0</v>
      </c>
      <c r="D23" s="222">
        <f>'Rel. by Popn'!D24+'Rel. by Popn'!G24+'Rel. by Popn'!J24+'Rel. by Popn'!M24+'Rel. by Popn'!P24</f>
        <v>773540</v>
      </c>
      <c r="E23" s="220">
        <f>'Rel. by Popn'!Q24+'Rel. by Popn'!T24+'Rel. by Popn'!W24+'Rel. by Popn'!AA24+'Rel. by Popn'!AD24+'Rel. by Popn'!AG24+'Rel. by Popn'!AK24</f>
        <v>69766</v>
      </c>
      <c r="F23" s="221">
        <f>'Rel. by Popn'!R24+'Rel. by Popn'!U24+'Rel. by Popn'!X24+'Rel. by Popn'!AB24+'Rel. by Popn'!AE24+'Rel. by Popn'!AH24+'Rel. by Popn'!AL24</f>
        <v>150794</v>
      </c>
      <c r="G23" s="170">
        <f>'Rel. by Popn'!S24+'Rel. by Popn'!V24+'Rel. by Popn'!Y24+'Rel. by Popn'!Z24+'Rel. by Popn'!AC24+'Rel. by Popn'!AF24+'Rel. by Popn'!AI24+'Rel. by Popn'!AJ24+'Rel. by Popn'!AM24</f>
        <v>1659488</v>
      </c>
      <c r="H23" s="220">
        <f>'Rel. by Popn'!AN24+'Rel. by Popn'!AQ24</f>
        <v>47048</v>
      </c>
      <c r="I23" s="169">
        <f>'Rel. by Popn'!AO24+'Rel. by Popn'!AR24</f>
        <v>0</v>
      </c>
      <c r="J23" s="170">
        <f>'Rel. by Popn'!AP24+'Rel. by Popn'!AS24</f>
        <v>277757</v>
      </c>
      <c r="K23" s="220">
        <f>'Rel. by Popn'!AT24+'Rel. by Popn'!AW24+'Rel. by Popn'!AZ24+'Rel. by Popn'!BC24+'Rel. by Popn'!BG24+'Rel. by Popn'!BJ24+'Rel. by Popn'!BM24+'Rel. by Popn'!BP24</f>
        <v>525274</v>
      </c>
      <c r="L23" s="169">
        <f>'Rel. by Popn'!AU24+'Rel. by Popn'!AX24+'Rel. by Popn'!BA24+'Rel. by Popn'!BD24+'Rel. by Popn'!BH24+'Rel. by Popn'!BK24+'Rel. by Popn'!BN24+'Rel. by Popn'!BQ24</f>
        <v>32406</v>
      </c>
      <c r="M23" s="170">
        <f>'Rel. by Popn'!AV24+'Rel. by Popn'!AY24+'Rel. by Popn'!BB24+'Rel. by Popn'!BE24+'Rel. by Popn'!BF24+'Rel. by Popn'!BI24+'Rel. by Popn'!BL24+'Rel. by Popn'!BO24+'Rel. by Popn'!BR24</f>
        <v>96839</v>
      </c>
      <c r="N23" s="171">
        <f t="shared" si="9"/>
        <v>668817</v>
      </c>
      <c r="O23" s="45">
        <f t="shared" si="10"/>
        <v>183200</v>
      </c>
      <c r="P23" s="60">
        <f t="shared" si="11"/>
        <v>2807624</v>
      </c>
      <c r="Q23" s="182">
        <f t="shared" si="2"/>
        <v>3.659641</v>
      </c>
      <c r="R23" s="186">
        <f>('Rel. by Popn'!Z24+'Rel. by Popn'!AJ24+'Rel. by Popn'!BF24)/1000000</f>
        <v>0</v>
      </c>
      <c r="S23" s="189">
        <f t="shared" si="3"/>
        <v>0.668817</v>
      </c>
      <c r="T23" s="190">
        <f t="shared" si="4"/>
        <v>0.1832</v>
      </c>
      <c r="U23" s="199">
        <f t="shared" si="5"/>
        <v>2.807624</v>
      </c>
      <c r="V23" s="203">
        <f t="shared" si="6"/>
        <v>3.659641</v>
      </c>
      <c r="W23" s="42"/>
      <c r="Y23" s="2"/>
    </row>
    <row r="24" spans="1:25" ht="12.75">
      <c r="A24" s="41">
        <v>1998</v>
      </c>
      <c r="B24" s="178">
        <f>'Rel. by Popn'!B25+'Rel. by Popn'!E25+'Rel. by Popn'!H25+'Rel. by Popn'!K25+'Rel. by Popn'!N25</f>
        <v>23529</v>
      </c>
      <c r="C24" s="178">
        <f>'Rel. by Popn'!C25+'Rel. by Popn'!F25+'Rel. by Popn'!I25+'Rel. by Popn'!L25+'Rel. by Popn'!O25</f>
        <v>24725</v>
      </c>
      <c r="D24" s="218">
        <f>'Rel. by Popn'!D25+'Rel. by Popn'!G25+'Rel. by Popn'!J25+'Rel. by Popn'!M25+'Rel. by Popn'!P25</f>
        <v>405170</v>
      </c>
      <c r="E24" s="178">
        <f>'Rel. by Popn'!Q25+'Rel. by Popn'!T25+'Rel. by Popn'!W25+'Rel. by Popn'!AA25+'Rel. by Popn'!AD25+'Rel. by Popn'!AG25+'Rel. by Popn'!AK25</f>
        <v>0</v>
      </c>
      <c r="F24" s="178">
        <f>'Rel. by Popn'!R25+'Rel. by Popn'!U25+'Rel. by Popn'!X25+'Rel. by Popn'!AB25+'Rel. by Popn'!AE25+'Rel. by Popn'!AH25+'Rel. by Popn'!AL25</f>
        <v>66186</v>
      </c>
      <c r="G24" s="168">
        <f>'Rel. by Popn'!S25+'Rel. by Popn'!V25+'Rel. by Popn'!Y25+'Rel. by Popn'!Z25+'Rel. by Popn'!AC25+'Rel. by Popn'!AF25+'Rel. by Popn'!AI25+'Rel. by Popn'!AJ25+'Rel. by Popn'!AM25</f>
        <v>599262</v>
      </c>
      <c r="H24" s="178">
        <f>'Rel. by Popn'!AN25+'Rel. by Popn'!AQ25</f>
        <v>35843</v>
      </c>
      <c r="I24" s="167">
        <f>'Rel. by Popn'!AO25+'Rel. by Popn'!AR25</f>
        <v>0</v>
      </c>
      <c r="J24" s="168">
        <f>'Rel. by Popn'!AP25+'Rel. by Popn'!AS25</f>
        <v>309678</v>
      </c>
      <c r="K24" s="178">
        <f>'Rel. by Popn'!AT25+'Rel. by Popn'!AW25+'Rel. by Popn'!AZ25+'Rel. by Popn'!BC25+'Rel. by Popn'!BG25+'Rel. by Popn'!BJ25+'Rel. by Popn'!BM25+'Rel. by Popn'!BP25</f>
        <v>70956</v>
      </c>
      <c r="L24" s="167">
        <f>'Rel. by Popn'!AU25+'Rel. by Popn'!AX25+'Rel. by Popn'!BA25+'Rel. by Popn'!BD25+'Rel. by Popn'!BH25+'Rel. by Popn'!BK25+'Rel. by Popn'!BN25+'Rel. by Popn'!BQ25</f>
        <v>0</v>
      </c>
      <c r="M24" s="168">
        <f>'Rel. by Popn'!AV25+'Rel. by Popn'!AY25+'Rel. by Popn'!BB25+'Rel. by Popn'!BE25+'Rel. by Popn'!BF25+'Rel. by Popn'!BI25+'Rel. by Popn'!BL25+'Rel. by Popn'!BO25+'Rel. by Popn'!BR25</f>
        <v>136866</v>
      </c>
      <c r="N24" s="172">
        <f t="shared" si="9"/>
        <v>130328</v>
      </c>
      <c r="O24" s="173">
        <f t="shared" si="10"/>
        <v>90911</v>
      </c>
      <c r="P24" s="174">
        <f t="shared" si="11"/>
        <v>1450976</v>
      </c>
      <c r="Q24" s="182">
        <f t="shared" si="2"/>
        <v>1.672215</v>
      </c>
      <c r="R24" s="186">
        <f>('Rel. by Popn'!Z25+'Rel. by Popn'!AJ25+'Rel. by Popn'!BF25)/1000000</f>
        <v>0</v>
      </c>
      <c r="S24" s="189">
        <f t="shared" si="3"/>
        <v>0.130328</v>
      </c>
      <c r="T24" s="190">
        <f t="shared" si="4"/>
        <v>0.090911</v>
      </c>
      <c r="U24" s="199">
        <f t="shared" si="5"/>
        <v>1.450976</v>
      </c>
      <c r="V24" s="203">
        <f t="shared" si="6"/>
        <v>1.672215</v>
      </c>
      <c r="W24" s="194">
        <v>2.3</v>
      </c>
      <c r="Y24" s="2"/>
    </row>
    <row r="25" spans="1:25" ht="12.75">
      <c r="A25" s="41">
        <v>1999</v>
      </c>
      <c r="B25" s="178">
        <f>'Rel. by Popn'!B26+'Rel. by Popn'!E26+'Rel. by Popn'!H26+'Rel. by Popn'!K26+'Rel. by Popn'!N26</f>
        <v>28400</v>
      </c>
      <c r="C25" s="178">
        <f>'Rel. by Popn'!C26+'Rel. by Popn'!F26+'Rel. by Popn'!I26+'Rel. by Popn'!L26+'Rel. by Popn'!O26</f>
        <v>0</v>
      </c>
      <c r="D25" s="218">
        <f>'Rel. by Popn'!D26+'Rel. by Popn'!G26+'Rel. by Popn'!J26+'Rel. by Popn'!M26+'Rel. by Popn'!P26</f>
        <v>403786</v>
      </c>
      <c r="E25" s="178">
        <f>'Rel. by Popn'!Q26+'Rel. by Popn'!T26+'Rel. by Popn'!W26+'Rel. by Popn'!AA26+'Rel. by Popn'!AD26+'Rel. by Popn'!AG26+'Rel. by Popn'!AK26</f>
        <v>21904</v>
      </c>
      <c r="F25" s="178">
        <f>'Rel. by Popn'!R26+'Rel. by Popn'!U26+'Rel. by Popn'!X26+'Rel. by Popn'!AB26+'Rel. by Popn'!AE26+'Rel. by Popn'!AH26+'Rel. by Popn'!AL26</f>
        <v>10500</v>
      </c>
      <c r="G25" s="168">
        <f>'Rel. by Popn'!S26+'Rel. by Popn'!V26+'Rel. by Popn'!Y26+'Rel. by Popn'!Z26+'Rel. by Popn'!AC26+'Rel. by Popn'!AF26+'Rel. by Popn'!AI26+'Rel. by Popn'!AJ26+'Rel. by Popn'!AM26</f>
        <v>151666</v>
      </c>
      <c r="H25" s="178">
        <f>'Rel. by Popn'!AN26+'Rel. by Popn'!AQ26</f>
        <v>551139</v>
      </c>
      <c r="I25" s="167">
        <f>'Rel. by Popn'!AO26+'Rel. by Popn'!AR26</f>
        <v>10440</v>
      </c>
      <c r="J25" s="168">
        <f>'Rel. by Popn'!AP26+'Rel. by Popn'!AS26</f>
        <v>219047</v>
      </c>
      <c r="K25" s="178">
        <f>'Rel. by Popn'!AT26+'Rel. by Popn'!AW26+'Rel. by Popn'!AZ26+'Rel. by Popn'!BC26+'Rel. by Popn'!BG26+'Rel. by Popn'!BJ26+'Rel. by Popn'!BM26+'Rel. by Popn'!BP26</f>
        <v>91668</v>
      </c>
      <c r="L25" s="167">
        <f>'Rel. by Popn'!AU26+'Rel. by Popn'!AX26+'Rel. by Popn'!BA26+'Rel. by Popn'!BD26+'Rel. by Popn'!BH26+'Rel. by Popn'!BK26+'Rel. by Popn'!BN26+'Rel. by Popn'!BQ26</f>
        <v>0</v>
      </c>
      <c r="M25" s="168">
        <f>'Rel. by Popn'!AV26+'Rel. by Popn'!AY26+'Rel. by Popn'!BB26+'Rel. by Popn'!BE26+'Rel. by Popn'!BF26+'Rel. by Popn'!BI26+'Rel. by Popn'!BL26+'Rel. by Popn'!BO26+'Rel. by Popn'!BR26</f>
        <v>182421</v>
      </c>
      <c r="N25" s="175">
        <f aca="true" t="shared" si="12" ref="N25:P29">B25+E25+H25+K25</f>
        <v>693111</v>
      </c>
      <c r="O25" s="100">
        <f t="shared" si="12"/>
        <v>20940</v>
      </c>
      <c r="P25" s="39">
        <f t="shared" si="12"/>
        <v>956920</v>
      </c>
      <c r="Q25" s="182">
        <f t="shared" si="2"/>
        <v>1.670971</v>
      </c>
      <c r="R25" s="186">
        <f>('Rel. by Popn'!Z26+'Rel. by Popn'!AJ26+'Rel. by Popn'!BF26)/1000000</f>
        <v>0</v>
      </c>
      <c r="S25" s="189">
        <f t="shared" si="3"/>
        <v>0.693111</v>
      </c>
      <c r="T25" s="190">
        <f t="shared" si="4"/>
        <v>0.02094</v>
      </c>
      <c r="U25" s="199">
        <f t="shared" si="5"/>
        <v>0.95692</v>
      </c>
      <c r="V25" s="203">
        <f t="shared" si="6"/>
        <v>1.670971</v>
      </c>
      <c r="W25" s="194">
        <v>2.3</v>
      </c>
      <c r="Y25" s="2"/>
    </row>
    <row r="26" spans="1:25" ht="12.75">
      <c r="A26" s="41">
        <v>2000</v>
      </c>
      <c r="B26" s="178">
        <f>'Rel. by Popn'!B27+'Rel. by Popn'!E27+'Rel. by Popn'!H27+'Rel. by Popn'!K27+'Rel. by Popn'!N27</f>
        <v>19632</v>
      </c>
      <c r="C26" s="178">
        <f>'Rel. by Popn'!C27+'Rel. by Popn'!F27+'Rel. by Popn'!I27+'Rel. by Popn'!L27+'Rel. by Popn'!O27</f>
        <v>0</v>
      </c>
      <c r="D26" s="218">
        <f>'Rel. by Popn'!D27+'Rel. by Popn'!G27+'Rel. by Popn'!J27+'Rel. by Popn'!M27+'Rel. by Popn'!P27</f>
        <v>406037</v>
      </c>
      <c r="E26" s="178">
        <f>'Rel. by Popn'!Q27+'Rel. by Popn'!T27+'Rel. by Popn'!W27+'Rel. by Popn'!AA27+'Rel. by Popn'!AD27+'Rel. by Popn'!AG27+'Rel. by Popn'!AK27</f>
        <v>8436</v>
      </c>
      <c r="F26" s="178">
        <f>'Rel. by Popn'!R27+'Rel. by Popn'!U27+'Rel. by Popn'!X27+'Rel. by Popn'!AB27+'Rel. by Popn'!AE27+'Rel. by Popn'!AH27+'Rel. by Popn'!AL27</f>
        <v>15750</v>
      </c>
      <c r="G26" s="168">
        <f>'Rel. by Popn'!S27+'Rel. by Popn'!V27+'Rel. by Popn'!Y27+'Rel. by Popn'!Z27+'Rel. by Popn'!AC27+'Rel. by Popn'!AF27+'Rel. by Popn'!AI27+'Rel. by Popn'!AJ27+'Rel. by Popn'!AM27</f>
        <v>20875</v>
      </c>
      <c r="H26" s="178">
        <f>'Rel. by Popn'!AN27+'Rel. by Popn'!AQ27</f>
        <v>657271</v>
      </c>
      <c r="I26" s="167">
        <f>'Rel. by Popn'!AO27+'Rel. by Popn'!AR27</f>
        <v>100800</v>
      </c>
      <c r="J26" s="168">
        <f>'Rel. by Popn'!AP27+'Rel. by Popn'!AS27</f>
        <v>214921</v>
      </c>
      <c r="K26" s="178">
        <f>'Rel. by Popn'!AT27+'Rel. by Popn'!AW27+'Rel. by Popn'!AZ27+'Rel. by Popn'!BC27+'Rel. by Popn'!BG27+'Rel. by Popn'!BJ27+'Rel. by Popn'!BM27+'Rel. by Popn'!BP27</f>
        <v>166631</v>
      </c>
      <c r="L26" s="167">
        <f>'Rel. by Popn'!AU27+'Rel. by Popn'!AX27+'Rel. by Popn'!BA27+'Rel. by Popn'!BD27+'Rel. by Popn'!BH27+'Rel. by Popn'!BK27+'Rel. by Popn'!BN27+'Rel. by Popn'!BQ27</f>
        <v>0</v>
      </c>
      <c r="M26" s="168">
        <f>'Rel. by Popn'!AV27+'Rel. by Popn'!AY27+'Rel. by Popn'!BB27+'Rel. by Popn'!BE27+'Rel. by Popn'!BF27+'Rel. by Popn'!BI27+'Rel. by Popn'!BL27+'Rel. by Popn'!BO27+'Rel. by Popn'!BR27</f>
        <v>176232</v>
      </c>
      <c r="N26" s="175">
        <f t="shared" si="12"/>
        <v>851970</v>
      </c>
      <c r="O26" s="100">
        <f t="shared" si="12"/>
        <v>116550</v>
      </c>
      <c r="P26" s="39">
        <f t="shared" si="12"/>
        <v>818065</v>
      </c>
      <c r="Q26" s="182">
        <f t="shared" si="2"/>
        <v>1.786585</v>
      </c>
      <c r="R26" s="186">
        <f>('Rel. by Popn'!Z27+'Rel. by Popn'!AJ27+'Rel. by Popn'!BF27)/1000000</f>
        <v>0</v>
      </c>
      <c r="S26" s="189">
        <f t="shared" si="3"/>
        <v>0.85197</v>
      </c>
      <c r="T26" s="190">
        <f t="shared" si="4"/>
        <v>0.11655</v>
      </c>
      <c r="U26" s="199">
        <f t="shared" si="5"/>
        <v>0.818065</v>
      </c>
      <c r="V26" s="203">
        <f t="shared" si="6"/>
        <v>1.786585</v>
      </c>
      <c r="W26" s="194">
        <v>2.3</v>
      </c>
      <c r="Y26" s="2"/>
    </row>
    <row r="27" spans="1:25" ht="12.75">
      <c r="A27" s="41">
        <v>2001</v>
      </c>
      <c r="B27" s="178">
        <f>'Rel. by Popn'!B28+'Rel. by Popn'!E28+'Rel. by Popn'!H28+'Rel. by Popn'!K28+'Rel. by Popn'!N28</f>
        <v>0</v>
      </c>
      <c r="C27" s="178">
        <f>'Rel. by Popn'!C28+'Rel. by Popn'!F28+'Rel. by Popn'!I28+'Rel. by Popn'!L28+'Rel. by Popn'!O28</f>
        <v>0</v>
      </c>
      <c r="D27" s="218">
        <f>'Rel. by Popn'!D28+'Rel. by Popn'!G28+'Rel. by Popn'!J28+'Rel. by Popn'!M28+'Rel. by Popn'!P28</f>
        <v>399282</v>
      </c>
      <c r="E27" s="178">
        <f>'Rel. by Popn'!Q28+'Rel. by Popn'!T28+'Rel. by Popn'!W28+'Rel. by Popn'!AA28+'Rel. by Popn'!AD28+'Rel. by Popn'!AG28+'Rel. by Popn'!AK28</f>
        <v>10532</v>
      </c>
      <c r="F27" s="178">
        <f>'Rel. by Popn'!R28+'Rel. by Popn'!U28+'Rel. by Popn'!X28+'Rel. by Popn'!AB28+'Rel. by Popn'!AE28+'Rel. by Popn'!AH28+'Rel. by Popn'!AL28</f>
        <v>9000</v>
      </c>
      <c r="G27" s="168">
        <f>'Rel. by Popn'!S28+'Rel. by Popn'!V28+'Rel. by Popn'!Y28+'Rel. by Popn'!Z28+'Rel. by Popn'!AC28+'Rel. by Popn'!AF28+'Rel. by Popn'!AI28+'Rel. by Popn'!AJ28+'Rel. by Popn'!AM28</f>
        <v>247018</v>
      </c>
      <c r="H27" s="178">
        <f>'Rel. by Popn'!AN28+'Rel. by Popn'!AQ28</f>
        <v>719367</v>
      </c>
      <c r="I27" s="167">
        <f>'Rel. by Popn'!AO28+'Rel. by Popn'!AR28</f>
        <v>24960</v>
      </c>
      <c r="J27" s="168">
        <f>'Rel. by Popn'!AP28+'Rel. by Popn'!AS28</f>
        <v>116700</v>
      </c>
      <c r="K27" s="178">
        <f>'Rel. by Popn'!AT28+'Rel. by Popn'!AW28+'Rel. by Popn'!AZ28+'Rel. by Popn'!BC28+'Rel. by Popn'!BG28+'Rel. by Popn'!BJ28+'Rel. by Popn'!BM28+'Rel. by Popn'!BP28</f>
        <v>50403</v>
      </c>
      <c r="L27" s="167">
        <f>'Rel. by Popn'!AU28+'Rel. by Popn'!AX28+'Rel. by Popn'!BA28+'Rel. by Popn'!BD28+'Rel. by Popn'!BH28+'Rel. by Popn'!BK28+'Rel. by Popn'!BN28+'Rel. by Popn'!BQ28</f>
        <v>0</v>
      </c>
      <c r="M27" s="168">
        <f>'Rel. by Popn'!AV28+'Rel. by Popn'!AY28+'Rel. by Popn'!BB28+'Rel. by Popn'!BE28+'Rel. by Popn'!BF28+'Rel. by Popn'!BI28+'Rel. by Popn'!BL28+'Rel. by Popn'!BO28+'Rel. by Popn'!BR28</f>
        <v>172569</v>
      </c>
      <c r="N27" s="175">
        <f t="shared" si="12"/>
        <v>780302</v>
      </c>
      <c r="O27" s="100">
        <f t="shared" si="12"/>
        <v>33960</v>
      </c>
      <c r="P27" s="39">
        <f t="shared" si="12"/>
        <v>935569</v>
      </c>
      <c r="Q27" s="182">
        <f t="shared" si="2"/>
        <v>1.749831</v>
      </c>
      <c r="R27" s="186">
        <f>('Rel. by Popn'!Z28+'Rel. by Popn'!AJ28+'Rel. by Popn'!BF28)/1000000</f>
        <v>0</v>
      </c>
      <c r="S27" s="189">
        <f t="shared" si="3"/>
        <v>0.780302</v>
      </c>
      <c r="T27" s="190">
        <f t="shared" si="4"/>
        <v>0.03396</v>
      </c>
      <c r="U27" s="199">
        <f t="shared" si="5"/>
        <v>0.935569</v>
      </c>
      <c r="V27" s="203">
        <f t="shared" si="6"/>
        <v>1.749831</v>
      </c>
      <c r="W27" s="194">
        <v>2.3</v>
      </c>
      <c r="Y27" s="2"/>
    </row>
    <row r="28" spans="1:25" ht="12.75">
      <c r="A28" s="41">
        <v>2002</v>
      </c>
      <c r="B28" s="178">
        <f>'Rel. by Popn'!B29+'Rel. by Popn'!E29+'Rel. by Popn'!H29+'Rel. by Popn'!K29+'Rel. by Popn'!N29</f>
        <v>0</v>
      </c>
      <c r="C28" s="178">
        <f>'Rel. by Popn'!C29+'Rel. by Popn'!F29+'Rel. by Popn'!I29+'Rel. by Popn'!L29+'Rel. by Popn'!O29</f>
        <v>138811</v>
      </c>
      <c r="D28" s="218">
        <f>'Rel. by Popn'!D29+'Rel. by Popn'!G29+'Rel. by Popn'!J29+'Rel. by Popn'!M29+'Rel. by Popn'!P29</f>
        <v>406283</v>
      </c>
      <c r="E28" s="178">
        <f>'Rel. by Popn'!Q29+'Rel. by Popn'!T29+'Rel. by Popn'!W29+'Rel. by Popn'!AA29+'Rel. by Popn'!AD29+'Rel. by Popn'!AG29+'Rel. by Popn'!AK29</f>
        <v>0</v>
      </c>
      <c r="F28" s="178">
        <f>'Rel. by Popn'!R29+'Rel. by Popn'!U29+'Rel. by Popn'!X29+'Rel. by Popn'!AB29+'Rel. by Popn'!AE29+'Rel. by Popn'!AH29+'Rel. by Popn'!AL29</f>
        <v>0</v>
      </c>
      <c r="G28" s="168">
        <f>'Rel. by Popn'!S29+'Rel. by Popn'!V29+'Rel. by Popn'!Y29+'Rel. by Popn'!Z29+'Rel. by Popn'!AC29+'Rel. by Popn'!AF29+'Rel. by Popn'!AI29+'Rel. by Popn'!AJ29+'Rel. by Popn'!AM29</f>
        <v>235606</v>
      </c>
      <c r="H28" s="178">
        <f>'Rel. by Popn'!AN29+'Rel. by Popn'!AQ29</f>
        <v>416755</v>
      </c>
      <c r="I28" s="167">
        <f>'Rel. by Popn'!AO29+'Rel. by Popn'!AR29</f>
        <v>0</v>
      </c>
      <c r="J28" s="168">
        <f>'Rel. by Popn'!AP29+'Rel. by Popn'!AS29</f>
        <v>115178</v>
      </c>
      <c r="K28" s="178">
        <f>'Rel. by Popn'!AT29+'Rel. by Popn'!AW29+'Rel. by Popn'!AZ29+'Rel. by Popn'!BC29+'Rel. by Popn'!BG29+'Rel. by Popn'!BJ29+'Rel. by Popn'!BM29+'Rel. by Popn'!BP29</f>
        <v>78193</v>
      </c>
      <c r="L28" s="167">
        <f>'Rel. by Popn'!AU29+'Rel. by Popn'!AX29+'Rel. by Popn'!BA29+'Rel. by Popn'!BD29+'Rel. by Popn'!BH29+'Rel. by Popn'!BK29+'Rel. by Popn'!BN29+'Rel. by Popn'!BQ29</f>
        <v>0</v>
      </c>
      <c r="M28" s="168">
        <f>'Rel. by Popn'!AV29+'Rel. by Popn'!AY29+'Rel. by Popn'!BB29+'Rel. by Popn'!BE29+'Rel. by Popn'!BF29+'Rel. by Popn'!BI29+'Rel. by Popn'!BL29+'Rel. by Popn'!BO29+'Rel. by Popn'!BR29</f>
        <v>191207</v>
      </c>
      <c r="N28" s="175">
        <f t="shared" si="12"/>
        <v>494948</v>
      </c>
      <c r="O28" s="100">
        <f t="shared" si="12"/>
        <v>138811</v>
      </c>
      <c r="P28" s="39">
        <f t="shared" si="12"/>
        <v>948274</v>
      </c>
      <c r="Q28" s="182">
        <f t="shared" si="2"/>
        <v>1.582033</v>
      </c>
      <c r="R28" s="186">
        <f>('Rel. by Popn'!Z29+'Rel. by Popn'!AJ29+'Rel. by Popn'!BF29)/1000000</f>
        <v>0</v>
      </c>
      <c r="S28" s="189">
        <f t="shared" si="3"/>
        <v>0.494948</v>
      </c>
      <c r="T28" s="190">
        <f t="shared" si="4"/>
        <v>0.138811</v>
      </c>
      <c r="U28" s="199">
        <f t="shared" si="5"/>
        <v>0.948274</v>
      </c>
      <c r="V28" s="203">
        <f t="shared" si="6"/>
        <v>1.582033</v>
      </c>
      <c r="W28" s="194">
        <v>2.3</v>
      </c>
      <c r="Y28" s="2"/>
    </row>
    <row r="29" spans="1:25" ht="13.5" thickBot="1">
      <c r="A29" s="41">
        <v>2003</v>
      </c>
      <c r="B29" s="178">
        <f>'Rel. by Popn'!B30+'Rel. by Popn'!E30+'Rel. by Popn'!H30+'Rel. by Popn'!K30+'Rel. by Popn'!N30</f>
        <v>0</v>
      </c>
      <c r="C29" s="178">
        <f>'Rel. by Popn'!C30+'Rel. by Popn'!F30+'Rel. by Popn'!I30+'Rel. by Popn'!L30+'Rel. by Popn'!O30</f>
        <v>0</v>
      </c>
      <c r="D29" s="219">
        <f>'Rel. by Popn'!D30+'Rel. by Popn'!G30+'Rel. by Popn'!J30+'Rel. by Popn'!M30+'Rel. by Popn'!P30</f>
        <v>199059</v>
      </c>
      <c r="E29" s="178">
        <f>'Rel. by Popn'!Q30+'Rel. by Popn'!T30+'Rel. by Popn'!W30+'Rel. by Popn'!AA30+'Rel. by Popn'!AD30+'Rel. by Popn'!AG30+'Rel. by Popn'!AK30</f>
        <v>0</v>
      </c>
      <c r="F29" s="178">
        <f>'Rel. by Popn'!R30+'Rel. by Popn'!U30+'Rel. by Popn'!X30+'Rel. by Popn'!AB30+'Rel. by Popn'!AE30+'Rel. by Popn'!AH30+'Rel. by Popn'!AL30</f>
        <v>17467</v>
      </c>
      <c r="G29" s="168">
        <f>'Rel. by Popn'!S30+'Rel. by Popn'!V30+'Rel. by Popn'!Y30+'Rel. by Popn'!Z30+'Rel. by Popn'!AC30+'Rel. by Popn'!AF30+'Rel. by Popn'!AI30+'Rel. by Popn'!AJ30+'Rel. by Popn'!AM30</f>
        <v>241028</v>
      </c>
      <c r="H29" s="178">
        <f>'Rel. by Popn'!AN30+'Rel. by Popn'!AQ30</f>
        <v>491644</v>
      </c>
      <c r="I29" s="167">
        <f>'Rel. by Popn'!AO30+'Rel. by Popn'!AR30</f>
        <v>0</v>
      </c>
      <c r="J29" s="168">
        <f>'Rel. by Popn'!AP30+'Rel. by Popn'!AS30</f>
        <v>146170</v>
      </c>
      <c r="K29" s="178">
        <f>'Rel. by Popn'!AT30+'Rel. by Popn'!AW30+'Rel. by Popn'!AZ30+'Rel. by Popn'!BC30+'Rel. by Popn'!BG30+'Rel. by Popn'!BJ30+'Rel. by Popn'!BM30+'Rel. by Popn'!BP30</f>
        <v>133622</v>
      </c>
      <c r="L29" s="167">
        <f>'Rel. by Popn'!AU30+'Rel. by Popn'!AX30+'Rel. by Popn'!BA30+'Rel. by Popn'!BD30+'Rel. by Popn'!BH30+'Rel. by Popn'!BK30+'Rel. by Popn'!BN30+'Rel. by Popn'!BQ30</f>
        <v>0</v>
      </c>
      <c r="M29" s="168">
        <f>'Rel. by Popn'!AV30+'Rel. by Popn'!AY30+'Rel. by Popn'!BB30+'Rel. by Popn'!BE30+'Rel. by Popn'!BF30+'Rel. by Popn'!BI30+'Rel. by Popn'!BL30+'Rel. by Popn'!BO30+'Rel. by Popn'!BR30</f>
        <v>163031</v>
      </c>
      <c r="N29" s="175">
        <f t="shared" si="12"/>
        <v>625266</v>
      </c>
      <c r="O29" s="100">
        <f t="shared" si="12"/>
        <v>17467</v>
      </c>
      <c r="P29" s="39">
        <f t="shared" si="12"/>
        <v>749288</v>
      </c>
      <c r="Q29" s="191">
        <f t="shared" si="2"/>
        <v>1.392021</v>
      </c>
      <c r="R29" s="193">
        <f>('Rel. by Popn'!Z30+'Rel. by Popn'!AJ30+'Rel. by Popn'!BF30)/1000000</f>
        <v>0</v>
      </c>
      <c r="S29" s="191">
        <f t="shared" si="3"/>
        <v>0.625266</v>
      </c>
      <c r="T29" s="192">
        <f t="shared" si="4"/>
        <v>0.017467</v>
      </c>
      <c r="U29" s="200">
        <f t="shared" si="5"/>
        <v>0.749288</v>
      </c>
      <c r="V29" s="204">
        <f t="shared" si="6"/>
        <v>1.392021</v>
      </c>
      <c r="W29" s="194">
        <v>2.3</v>
      </c>
      <c r="Y29" s="2"/>
    </row>
    <row r="30" spans="1:16" ht="12.75">
      <c r="A30" s="109" t="s">
        <v>27</v>
      </c>
      <c r="B30" s="112"/>
      <c r="C30" s="112"/>
      <c r="D30" s="113"/>
      <c r="E30" s="112"/>
      <c r="F30" s="112"/>
      <c r="G30" s="113"/>
      <c r="H30" s="112"/>
      <c r="I30" s="112"/>
      <c r="J30" s="113"/>
      <c r="K30" s="112"/>
      <c r="L30" s="112"/>
      <c r="M30" s="113"/>
      <c r="N30" s="176"/>
      <c r="O30" s="176"/>
      <c r="P30" s="177"/>
    </row>
    <row r="31" spans="1:16" ht="12.75">
      <c r="A31" s="48" t="s">
        <v>28</v>
      </c>
      <c r="B31" s="21">
        <f>AVERAGE(B11:B23)</f>
        <v>550108.0769230769</v>
      </c>
      <c r="C31" s="21">
        <f>AVERAGE(C6:C23)</f>
        <v>339656.05555555556</v>
      </c>
      <c r="D31" s="39">
        <f>AVERAGE(D6:D23)</f>
        <v>1581678.7222222222</v>
      </c>
      <c r="E31" s="21">
        <f>AVERAGE(E11:E23)</f>
        <v>408939.6923076923</v>
      </c>
      <c r="F31" s="21">
        <f>AVERAGE(F6:F23)</f>
        <v>1031835.4444444445</v>
      </c>
      <c r="G31" s="39">
        <f>AVERAGE(G6:G23)</f>
        <v>7226448.333333333</v>
      </c>
      <c r="H31" s="21">
        <f>AVERAGE(H11:H23)</f>
        <v>528235.1538461539</v>
      </c>
      <c r="I31" s="21">
        <f>AVERAGE(I6:I23)</f>
        <v>4547.705882352941</v>
      </c>
      <c r="J31" s="39">
        <f>AVERAGE(J6:J23)</f>
        <v>364206.8888888889</v>
      </c>
      <c r="K31" s="21">
        <f>AVERAGE(K11:K23)</f>
        <v>621190.8461538461</v>
      </c>
      <c r="L31" s="21">
        <f>AVERAGE(L6:L23)</f>
        <v>228047.83333333334</v>
      </c>
      <c r="M31" s="39">
        <f>AVERAGE(M6:M23)</f>
        <v>2212162.388888889</v>
      </c>
      <c r="N31" s="21">
        <f>AVERAGE(N11:N23)</f>
        <v>2108473.769230769</v>
      </c>
      <c r="O31" s="21">
        <f>AVERAGE(O6:O23)</f>
        <v>1603834.388888889</v>
      </c>
      <c r="P31" s="39">
        <f>AVERAGE(P6:P23)</f>
        <v>11384496.333333334</v>
      </c>
    </row>
    <row r="32" spans="1:16" ht="12.75">
      <c r="A32" s="48" t="s">
        <v>29</v>
      </c>
      <c r="B32" s="21">
        <f>MIN(B11:B23)</f>
        <v>26729</v>
      </c>
      <c r="C32" s="21">
        <f>MIN(C6:C23)</f>
        <v>0</v>
      </c>
      <c r="D32" s="39">
        <f>MIN(D6:D23)</f>
        <v>773540</v>
      </c>
      <c r="E32" s="21">
        <f>MIN(E11:E23)</f>
        <v>24863</v>
      </c>
      <c r="F32" s="21">
        <f>MIN(F6:F23)</f>
        <v>29062</v>
      </c>
      <c r="G32" s="39">
        <f>MIN(G6:G23)</f>
        <v>1659488</v>
      </c>
      <c r="H32" s="21">
        <f>MIN(H11:H23)</f>
        <v>40194</v>
      </c>
      <c r="I32" s="21">
        <f>MIN(I6:I23)</f>
        <v>0</v>
      </c>
      <c r="J32" s="39">
        <f>MIN(J6:J23)</f>
        <v>149509</v>
      </c>
      <c r="K32" s="21">
        <f>MIN(K11:K23)</f>
        <v>102863</v>
      </c>
      <c r="L32" s="21">
        <f>MIN(L6:L23)</f>
        <v>0</v>
      </c>
      <c r="M32" s="39">
        <f>MIN(M6:M23)</f>
        <v>96839</v>
      </c>
      <c r="N32" s="21">
        <f>MIN(N11:N23)</f>
        <v>668817</v>
      </c>
      <c r="O32" s="21">
        <f>MIN(O6:O23)</f>
        <v>46108</v>
      </c>
      <c r="P32" s="39">
        <f>MIN(P6:P23)</f>
        <v>2807624</v>
      </c>
    </row>
    <row r="33" spans="1:16" ht="12.75">
      <c r="A33" s="49" t="s">
        <v>30</v>
      </c>
      <c r="B33" s="45">
        <f>MAX(B11:B23)</f>
        <v>2015785</v>
      </c>
      <c r="C33" s="45">
        <f>MAX(C6:C23)</f>
        <v>2666868</v>
      </c>
      <c r="D33" s="60">
        <f>MAX(D6:D23)</f>
        <v>2156888</v>
      </c>
      <c r="E33" s="45">
        <f>MAX(E11:E23)</f>
        <v>1072162</v>
      </c>
      <c r="F33" s="45">
        <f>MAX(F6:F23)</f>
        <v>4032634</v>
      </c>
      <c r="G33" s="60">
        <f>MAX(G6:G23)</f>
        <v>22705100</v>
      </c>
      <c r="H33" s="45">
        <f>MAX(H11:H23)</f>
        <v>1802651</v>
      </c>
      <c r="I33" s="45">
        <f>MAX(I6:I23)</f>
        <v>21140</v>
      </c>
      <c r="J33" s="60">
        <f>MAX(J6:J23)</f>
        <v>588731</v>
      </c>
      <c r="K33" s="45">
        <f>MAX(K11:K23)</f>
        <v>1525590</v>
      </c>
      <c r="L33" s="45">
        <f>MAX(L6:L23)</f>
        <v>922496</v>
      </c>
      <c r="M33" s="60">
        <f>MAX(M6:M23)</f>
        <v>11927049</v>
      </c>
      <c r="N33" s="45">
        <f>MAX(N11:N23)</f>
        <v>5038087</v>
      </c>
      <c r="O33" s="45">
        <f>MAX(O6:O23)</f>
        <v>6699502</v>
      </c>
      <c r="P33" s="60">
        <f>MAX(P6:P23)</f>
        <v>27751824</v>
      </c>
    </row>
    <row r="34" spans="1:16" ht="12.75">
      <c r="A34" s="47" t="s">
        <v>31</v>
      </c>
      <c r="B34" s="21"/>
      <c r="C34" s="21"/>
      <c r="D34" s="39"/>
      <c r="E34" s="21"/>
      <c r="F34" s="21"/>
      <c r="G34" s="39"/>
      <c r="H34" s="21"/>
      <c r="I34" s="21"/>
      <c r="J34" s="39"/>
      <c r="K34" s="21"/>
      <c r="L34" s="21"/>
      <c r="M34" s="39"/>
      <c r="N34" s="21"/>
      <c r="O34" s="21"/>
      <c r="P34" s="39"/>
    </row>
    <row r="35" spans="1:16" ht="12.75">
      <c r="A35" s="48" t="s">
        <v>28</v>
      </c>
      <c r="B35" s="21">
        <f aca="true" t="shared" si="13" ref="B35:P35">AVERAGE(B24:B29)</f>
        <v>11926.833333333334</v>
      </c>
      <c r="C35" s="21">
        <f t="shared" si="13"/>
        <v>27256</v>
      </c>
      <c r="D35" s="39">
        <f t="shared" si="13"/>
        <v>369936.1666666667</v>
      </c>
      <c r="E35" s="21">
        <f t="shared" si="13"/>
        <v>6812</v>
      </c>
      <c r="F35" s="21">
        <f t="shared" si="13"/>
        <v>19817.166666666668</v>
      </c>
      <c r="G35" s="39">
        <f t="shared" si="13"/>
        <v>249242.5</v>
      </c>
      <c r="H35" s="21">
        <f t="shared" si="13"/>
        <v>478669.8333333333</v>
      </c>
      <c r="I35" s="21">
        <f t="shared" si="13"/>
        <v>22700</v>
      </c>
      <c r="J35" s="39">
        <f t="shared" si="13"/>
        <v>186949</v>
      </c>
      <c r="K35" s="21">
        <f t="shared" si="13"/>
        <v>98578.83333333333</v>
      </c>
      <c r="L35" s="21">
        <f t="shared" si="13"/>
        <v>0</v>
      </c>
      <c r="M35" s="39">
        <f t="shared" si="13"/>
        <v>170387.66666666666</v>
      </c>
      <c r="N35" s="21">
        <f t="shared" si="13"/>
        <v>595987.5</v>
      </c>
      <c r="O35" s="21">
        <f t="shared" si="13"/>
        <v>69773.16666666667</v>
      </c>
      <c r="P35" s="39">
        <f t="shared" si="13"/>
        <v>976515.3333333334</v>
      </c>
    </row>
    <row r="36" spans="1:16" ht="12.75">
      <c r="A36" s="48" t="s">
        <v>29</v>
      </c>
      <c r="B36" s="21">
        <f aca="true" t="shared" si="14" ref="B36:P36">MIN(B24:B29)</f>
        <v>0</v>
      </c>
      <c r="C36" s="21">
        <f t="shared" si="14"/>
        <v>0</v>
      </c>
      <c r="D36" s="39">
        <f t="shared" si="14"/>
        <v>199059</v>
      </c>
      <c r="E36" s="21">
        <f t="shared" si="14"/>
        <v>0</v>
      </c>
      <c r="F36" s="21">
        <f t="shared" si="14"/>
        <v>0</v>
      </c>
      <c r="G36" s="39">
        <f t="shared" si="14"/>
        <v>20875</v>
      </c>
      <c r="H36" s="21">
        <f t="shared" si="14"/>
        <v>35843</v>
      </c>
      <c r="I36" s="21">
        <f t="shared" si="14"/>
        <v>0</v>
      </c>
      <c r="J36" s="39">
        <f t="shared" si="14"/>
        <v>115178</v>
      </c>
      <c r="K36" s="21">
        <f t="shared" si="14"/>
        <v>50403</v>
      </c>
      <c r="L36" s="21">
        <f t="shared" si="14"/>
        <v>0</v>
      </c>
      <c r="M36" s="39">
        <f t="shared" si="14"/>
        <v>136866</v>
      </c>
      <c r="N36" s="21">
        <f t="shared" si="14"/>
        <v>130328</v>
      </c>
      <c r="O36" s="21">
        <f t="shared" si="14"/>
        <v>17467</v>
      </c>
      <c r="P36" s="39">
        <f t="shared" si="14"/>
        <v>749288</v>
      </c>
    </row>
    <row r="37" spans="1:16" ht="13.5" thickBot="1">
      <c r="A37" s="50" t="s">
        <v>30</v>
      </c>
      <c r="B37" s="46">
        <f aca="true" t="shared" si="15" ref="B37:P37">MAX(B24:B29)</f>
        <v>28400</v>
      </c>
      <c r="C37" s="46">
        <f t="shared" si="15"/>
        <v>138811</v>
      </c>
      <c r="D37" s="62">
        <f t="shared" si="15"/>
        <v>406283</v>
      </c>
      <c r="E37" s="46">
        <f t="shared" si="15"/>
        <v>21904</v>
      </c>
      <c r="F37" s="46">
        <f t="shared" si="15"/>
        <v>66186</v>
      </c>
      <c r="G37" s="62">
        <f t="shared" si="15"/>
        <v>599262</v>
      </c>
      <c r="H37" s="46">
        <f t="shared" si="15"/>
        <v>719367</v>
      </c>
      <c r="I37" s="46">
        <f t="shared" si="15"/>
        <v>100800</v>
      </c>
      <c r="J37" s="62">
        <f t="shared" si="15"/>
        <v>309678</v>
      </c>
      <c r="K37" s="46">
        <f t="shared" si="15"/>
        <v>166631</v>
      </c>
      <c r="L37" s="46">
        <f t="shared" si="15"/>
        <v>0</v>
      </c>
      <c r="M37" s="62">
        <f t="shared" si="15"/>
        <v>191207</v>
      </c>
      <c r="N37" s="46">
        <f t="shared" si="15"/>
        <v>851970</v>
      </c>
      <c r="O37" s="46">
        <f t="shared" si="15"/>
        <v>138811</v>
      </c>
      <c r="P37" s="62">
        <f t="shared" si="15"/>
        <v>1450976</v>
      </c>
    </row>
    <row r="38" spans="14:16" ht="12.75">
      <c r="N38" s="2"/>
      <c r="O38" s="2"/>
      <c r="P38" s="2"/>
    </row>
    <row r="39" ht="12.75">
      <c r="N39" s="6"/>
    </row>
    <row r="40" ht="12.75">
      <c r="N40" s="28"/>
    </row>
    <row r="41" ht="12.75">
      <c r="N41" s="28"/>
    </row>
    <row r="42" ht="12.75">
      <c r="N42" s="28"/>
    </row>
    <row r="43" ht="12.75">
      <c r="N43" s="28"/>
    </row>
  </sheetData>
  <printOptions/>
  <pageMargins left="0.5" right="0.5" top="1" bottom="1" header="0.5" footer="0.5"/>
  <pageSetup fitToHeight="1" fitToWidth="1" horizontalDpi="300" verticalDpi="3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Lewis</dc:creator>
  <cp:keywords/>
  <dc:description/>
  <cp:lastModifiedBy>Mark Lewis</cp:lastModifiedBy>
  <cp:lastPrinted>2004-02-23T22:00:39Z</cp:lastPrinted>
  <dcterms:created xsi:type="dcterms:W3CDTF">2004-01-15T00:03:54Z</dcterms:created>
  <dcterms:modified xsi:type="dcterms:W3CDTF">2004-03-01T23:57:41Z</dcterms:modified>
  <cp:category/>
  <cp:version/>
  <cp:contentType/>
  <cp:contentStatus/>
</cp:coreProperties>
</file>